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Annahmen" sheetId="2" state="visible" r:id="rId2"/>
    <sheet xmlns:r="http://schemas.openxmlformats.org/officeDocument/2006/relationships" name="Wärme" sheetId="3" state="visible" r:id="rId3"/>
    <sheet xmlns:r="http://schemas.openxmlformats.org/officeDocument/2006/relationships" name="Investition" sheetId="4" state="visible" r:id="rId4"/>
    <sheet xmlns:r="http://schemas.openxmlformats.org/officeDocument/2006/relationships" name="Betrieb" sheetId="5" state="visible" r:id="rId5"/>
    <sheet xmlns:r="http://schemas.openxmlformats.org/officeDocument/2006/relationships" name="Quelle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;(#,##0.0);-"/>
    <numFmt numFmtId="165" formatCode="#,##0;(#,##0);-"/>
    <numFmt numFmtId="166" formatCode="0.0%;(0.0%);-"/>
    <numFmt numFmtId="167" formatCode="#,##0.0,,;(#,##0.0,,);-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1"/>
    </font>
    <font>
      <name val="Arial"/>
      <b val="1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color rgb="00008000"/>
      <sz val="10"/>
    </font>
    <font>
      <name val="Arial"/>
      <b val="1"/>
      <color rgb="00008000"/>
      <sz val="10"/>
    </font>
    <font>
      <name val="Arial"/>
      <color theme="1"/>
      <sz val="11"/>
    </font>
  </fonts>
  <fills count="6">
    <fill>
      <patternFill/>
    </fill>
    <fill>
      <patternFill patternType="gray125"/>
    </fill>
    <fill>
      <patternFill patternType="solid">
        <fgColor rgb="001F2A3A"/>
      </patternFill>
    </fill>
    <fill>
      <patternFill patternType="solid">
        <fgColor rgb="00E9EDF2"/>
      </patternFill>
    </fill>
    <fill>
      <patternFill patternType="solid">
        <fgColor rgb="00FFFF00"/>
      </patternFill>
    </fill>
    <fill>
      <patternFill patternType="solid">
        <fgColor rgb="00FFE9CC"/>
      </patternFill>
    </fill>
  </fills>
  <borders count="2">
    <border>
      <left/>
      <right/>
      <top/>
      <bottom/>
      <diagonal/>
    </border>
    <border>
      <top style="thin">
        <color rgb="0000000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9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5" fillId="0" borderId="0" pivotButton="0" quotePrefix="0" xfId="0"/>
    <xf numFmtId="167" fontId="7" fillId="0" borderId="0" pivotButton="0" quotePrefix="0" xfId="0"/>
    <xf numFmtId="0" fontId="4" fillId="5" borderId="0" pivotButton="0" quotePrefix="0" xfId="0"/>
    <xf numFmtId="167" fontId="8" fillId="5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167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2" fontId="7" fillId="0" borderId="0" pivotButton="0" quotePrefix="0" xfId="0"/>
    <xf numFmtId="166" fontId="7" fillId="0" borderId="0" pivotButton="0" quotePrefix="0" xfId="0"/>
    <xf numFmtId="165" fontId="7" fillId="0" borderId="0" pivotButton="0" quotePrefix="0" xfId="0"/>
    <xf numFmtId="164" fontId="7" fillId="0" borderId="0" pivotButton="0" quotePrefix="0" xfId="0"/>
    <xf numFmtId="0" fontId="4" fillId="3" borderId="0" pivotButton="0" quotePrefix="0" xfId="0"/>
    <xf numFmtId="0" fontId="9" fillId="3" borderId="0" pivotButton="0" quotePrefix="0" xfId="0"/>
    <xf numFmtId="164" fontId="6" fillId="4" borderId="0" pivotButton="0" quotePrefix="0" xfId="0"/>
    <xf numFmtId="0" fontId="2" fillId="0" borderId="0" applyAlignment="1" pivotButton="0" quotePrefix="0" xfId="0">
      <alignment vertical="top" wrapText="1"/>
    </xf>
    <xf numFmtId="2" fontId="6" fillId="0" borderId="0" pivotButton="0" quotePrefix="0" xfId="0"/>
    <xf numFmtId="165" fontId="6" fillId="4" borderId="0" pivotButton="0" quotePrefix="0" xfId="0"/>
    <xf numFmtId="165" fontId="6" fillId="0" borderId="0" pivotButton="0" quotePrefix="0" xfId="0"/>
    <xf numFmtId="166" fontId="6" fillId="0" borderId="0" pivotButton="0" quotePrefix="0" xfId="0"/>
    <xf numFmtId="166" fontId="6" fillId="4" borderId="0" pivotButton="0" quotePrefix="0" xfId="0"/>
    <xf numFmtId="2" fontId="6" fillId="4" borderId="0" pivotButton="0" quotePrefix="0" xfId="0"/>
    <xf numFmtId="164" fontId="6" fillId="0" borderId="0" pivotButton="0" quotePrefix="0" xfId="0"/>
    <xf numFmtId="2" fontId="9" fillId="0" borderId="0" pivotButton="0" quotePrefix="0" xfId="0"/>
    <xf numFmtId="0" fontId="6" fillId="0" borderId="0" pivotButton="0" quotePrefix="0" xfId="0"/>
    <xf numFmtId="2" fontId="4" fillId="0" borderId="1" pivotButton="0" quotePrefix="0" xfId="0"/>
    <xf numFmtId="166" fontId="9" fillId="0" borderId="0" pivotButton="0" quotePrefix="0" xfId="0"/>
    <xf numFmtId="165" fontId="4" fillId="0" borderId="0" pivotButton="0" quotePrefix="0" xfId="0"/>
    <xf numFmtId="165" fontId="9" fillId="0" borderId="0" pivotButton="0" quotePrefix="0" xfId="0"/>
    <xf numFmtId="164" fontId="4" fillId="0" borderId="0" pivotButton="0" quotePrefix="0" xfId="0"/>
    <xf numFmtId="167" fontId="9" fillId="0" borderId="0" pivotButton="0" quotePrefix="0" xfId="0"/>
    <xf numFmtId="164" fontId="5" fillId="0" borderId="0" pivotButton="0" quotePrefix="0" xfId="0"/>
    <xf numFmtId="167" fontId="4" fillId="0" borderId="1" pivotButton="0" quotePrefix="0" xfId="0"/>
    <xf numFmtId="167" fontId="4" fillId="5" borderId="1" pivotButton="0" quotePrefix="0" xfId="0"/>
    <xf numFmtId="167" fontId="4" fillId="0" borderId="0" pivotButton="0" quotePrefix="0" xfId="0"/>
    <xf numFmtId="164" fontId="9" fillId="0" borderId="0" pivotButton="0" quotePrefix="0" xfId="0"/>
    <xf numFmtId="167" fontId="4" fillId="5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YUKI · Kahlenberg — Grobkostenschätzung Konzept v4</t>
        </is>
      </c>
      <c r="B1" s="2" t="n"/>
      <c r="C1" s="2" t="n"/>
      <c r="D1" s="2" t="n"/>
    </row>
    <row r="2">
      <c r="A2" s="3" t="inlineStr">
        <is>
          <t>Server halb versenkt · Onsen ~2.400 m² (inkl. Saunawelt und Waldflügel) + Restaurant/Bar ~420 m² · Rechenzentrum 1 MW im UG · Preisbasis 2026 · netto · Mio. €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 ht="30" customHeight="1">
      <c r="A4" s="4" t="inlineStr">
        <is>
          <t>Investition</t>
        </is>
      </c>
      <c r="B4" s="4" t="inlineStr">
        <is>
          <t>Niedrig</t>
        </is>
      </c>
      <c r="C4" s="4" t="inlineStr">
        <is>
          <t>Basis</t>
        </is>
      </c>
      <c r="D4" s="4" t="inlineStr">
        <is>
          <t>Hoch</t>
        </is>
      </c>
    </row>
    <row r="5">
      <c r="A5" s="5" t="inlineStr">
        <is>
          <t>AI-Rechenzentrum 1 MW (ohne GPUs)</t>
        </is>
      </c>
      <c r="B5" s="6">
        <f>'Investition'!D6</f>
        <v/>
      </c>
      <c r="C5" s="6">
        <f>'Investition'!E6</f>
        <v/>
      </c>
      <c r="D5" s="6">
        <f>'Investition'!F6</f>
        <v/>
      </c>
    </row>
    <row r="6">
      <c r="A6" s="5" t="inlineStr">
        <is>
          <t>Netzanschluss</t>
        </is>
      </c>
      <c r="B6" s="6">
        <f>'Investition'!D7</f>
        <v/>
      </c>
      <c r="C6" s="6">
        <f>'Investition'!E7</f>
        <v/>
      </c>
      <c r="D6" s="6">
        <f>'Investition'!F7</f>
        <v/>
      </c>
    </row>
    <row r="7">
      <c r="A7" s="5" t="inlineStr">
        <is>
          <t>Wärmeverbund</t>
        </is>
      </c>
      <c r="B7" s="6">
        <f>'Investition'!D8</f>
        <v/>
      </c>
      <c r="C7" s="6">
        <f>'Investition'!E8</f>
        <v/>
      </c>
      <c r="D7" s="6">
        <f>'Investition'!F8</f>
        <v/>
      </c>
    </row>
    <row r="8">
      <c r="A8" s="5" t="inlineStr">
        <is>
          <t>Onsen-Haus (EG–2. OG + Waldflügel)</t>
        </is>
      </c>
      <c r="B8" s="6">
        <f>'Investition'!D9</f>
        <v/>
      </c>
      <c r="C8" s="6">
        <f>'Investition'!E9</f>
        <v/>
      </c>
      <c r="D8" s="6">
        <f>'Investition'!F9</f>
        <v/>
      </c>
    </row>
    <row r="9">
      <c r="A9" s="5" t="inlineStr">
        <is>
          <t>Restaurant &amp; Whisky-Bar</t>
        </is>
      </c>
      <c r="B9" s="6">
        <f>'Investition'!D10</f>
        <v/>
      </c>
      <c r="C9" s="6">
        <f>'Investition'!E10</f>
        <v/>
      </c>
      <c r="D9" s="6">
        <f>'Investition'!F10</f>
        <v/>
      </c>
    </row>
    <row r="10">
      <c r="A10" s="5" t="inlineStr">
        <is>
          <t>Rotenburo-Becken</t>
        </is>
      </c>
      <c r="B10" s="6">
        <f>'Investition'!D11</f>
        <v/>
      </c>
      <c r="C10" s="6">
        <f>'Investition'!E11</f>
        <v/>
      </c>
      <c r="D10" s="6">
        <f>'Investition'!F11</f>
        <v/>
      </c>
    </row>
    <row r="11">
      <c r="A11" s="5" t="inlineStr">
        <is>
          <t>Badedeck auf Stelzen</t>
        </is>
      </c>
      <c r="B11" s="6">
        <f>'Investition'!D12</f>
        <v/>
      </c>
      <c r="C11" s="6">
        <f>'Investition'!E12</f>
        <v/>
      </c>
      <c r="D11" s="6">
        <f>'Investition'!F12</f>
        <v/>
      </c>
    </row>
    <row r="12">
      <c r="A12" s="5" t="inlineStr">
        <is>
          <t>Halb versenkter Sockel &amp; Freitreppe</t>
        </is>
      </c>
      <c r="B12" s="6">
        <f>'Investition'!D13</f>
        <v/>
      </c>
      <c r="C12" s="6">
        <f>'Investition'!E13</f>
        <v/>
      </c>
      <c r="D12" s="6">
        <f>'Investition'!F13</f>
        <v/>
      </c>
    </row>
    <row r="13">
      <c r="A13" s="5" t="inlineStr">
        <is>
          <t>Stelzen Waldflügel</t>
        </is>
      </c>
      <c r="B13" s="6">
        <f>'Investition'!D14</f>
        <v/>
      </c>
      <c r="C13" s="6">
        <f>'Investition'!E14</f>
        <v/>
      </c>
      <c r="D13" s="6">
        <f>'Investition'!F14</f>
        <v/>
      </c>
    </row>
    <row r="14">
      <c r="A14" s="5" t="inlineStr">
        <is>
          <t>Makaken-Sanctuary</t>
        </is>
      </c>
      <c r="B14" s="6">
        <f>'Investition'!D15</f>
        <v/>
      </c>
      <c r="C14" s="6">
        <f>'Investition'!E15</f>
        <v/>
      </c>
      <c r="D14" s="6">
        <f>'Investition'!F15</f>
        <v/>
      </c>
    </row>
    <row r="15">
      <c r="A15" s="5" t="inlineStr">
        <is>
          <t>Erschließung &amp; Leitungen</t>
        </is>
      </c>
      <c r="B15" s="6">
        <f>'Investition'!D16</f>
        <v/>
      </c>
      <c r="C15" s="6">
        <f>'Investition'!E16</f>
        <v/>
      </c>
      <c r="D15" s="6">
        <f>'Investition'!F16</f>
        <v/>
      </c>
    </row>
    <row r="16">
      <c r="A16" s="5" t="inlineStr">
        <is>
          <t>Wärmeleitung zu Nachbarn</t>
        </is>
      </c>
      <c r="B16" s="6">
        <f>'Investition'!D17</f>
        <v/>
      </c>
      <c r="C16" s="6">
        <f>'Investition'!E17</f>
        <v/>
      </c>
      <c r="D16" s="6">
        <f>'Investition'!F17</f>
        <v/>
      </c>
    </row>
    <row r="17">
      <c r="A17" s="5" t="inlineStr">
        <is>
          <t>Außenanlagen</t>
        </is>
      </c>
      <c r="B17" s="6">
        <f>'Investition'!D18</f>
        <v/>
      </c>
      <c r="C17" s="6">
        <f>'Investition'!E18</f>
        <v/>
      </c>
      <c r="D17" s="6">
        <f>'Investition'!F18</f>
        <v/>
      </c>
    </row>
    <row r="18">
      <c r="A18" s="5" t="inlineStr">
        <is>
          <t>Ausstattung &amp; Pre-Opening</t>
        </is>
      </c>
      <c r="B18" s="6">
        <f>'Investition'!D19</f>
        <v/>
      </c>
      <c r="C18" s="6">
        <f>'Investition'!E19</f>
        <v/>
      </c>
      <c r="D18" s="6">
        <f>'Investition'!F19</f>
        <v/>
      </c>
    </row>
    <row r="19">
      <c r="A19" s="5" t="inlineStr">
        <is>
          <t>Planung &amp; Genehmigungen</t>
        </is>
      </c>
      <c r="B19" s="6">
        <f>'Investition'!D21</f>
        <v/>
      </c>
      <c r="C19" s="6">
        <f>'Investition'!E21</f>
        <v/>
      </c>
      <c r="D19" s="6">
        <f>'Investition'!F21</f>
        <v/>
      </c>
    </row>
    <row r="20">
      <c r="A20" s="5" t="inlineStr">
        <is>
          <t>Reserve</t>
        </is>
      </c>
      <c r="B20" s="6">
        <f>'Investition'!D22</f>
        <v/>
      </c>
      <c r="C20" s="6">
        <f>'Investition'!E22</f>
        <v/>
      </c>
      <c r="D20" s="6">
        <f>'Investition'!F22</f>
        <v/>
      </c>
    </row>
    <row r="21">
      <c r="A21" s="5" t="inlineStr">
        <is>
          <t>Finanzierung während der Bauzeit</t>
        </is>
      </c>
      <c r="B21" s="6">
        <f>'Investition'!D23</f>
        <v/>
      </c>
      <c r="C21" s="6">
        <f>'Investition'!E23</f>
        <v/>
      </c>
      <c r="D21" s="6">
        <f>'Investition'!F23</f>
        <v/>
      </c>
    </row>
    <row r="22">
      <c r="A22" s="7" t="inlineStr">
        <is>
          <t>Variante A — YUKI baut auch das Rechenzentrum</t>
        </is>
      </c>
      <c r="B22" s="8">
        <f>'Investition'!D24</f>
        <v/>
      </c>
      <c r="C22" s="8">
        <f>'Investition'!E24</f>
        <v/>
      </c>
      <c r="D22" s="8">
        <f>'Investition'!F24</f>
        <v/>
      </c>
    </row>
    <row r="23">
      <c r="A23" s="7" t="inlineStr">
        <is>
          <t>Variante B — Rechenzentrum durch Partner</t>
        </is>
      </c>
      <c r="B23" s="8">
        <f>'Investition'!D31</f>
        <v/>
      </c>
      <c r="C23" s="8">
        <f>'Investition'!E31</f>
        <v/>
      </c>
      <c r="D23" s="8">
        <f>'Investition'!F31</f>
        <v/>
      </c>
    </row>
    <row r="24">
      <c r="A24" s="5" t="inlineStr">
        <is>
          <t>Info: eigene GPU-Hardware (zusätzlich, außerhalb des Rahmens)</t>
        </is>
      </c>
      <c r="B24" s="6">
        <f>'Investition'!D34</f>
        <v/>
      </c>
      <c r="C24" s="6">
        <f>'Investition'!E34</f>
        <v/>
      </c>
      <c r="D24" s="6">
        <f>'Investition'!F34</f>
        <v/>
      </c>
    </row>
    <row r="25">
      <c r="A25" s="9" t="inlineStr">
        <is>
          <t>Zielrahmen 20–30 Mio. € (Basis)</t>
        </is>
      </c>
      <c r="B25" s="10">
        <f>IF(AND(C22&gt;=20000000,C22&lt;=30000000),"im Rahmen",IF(C22&lt;20000000,"darunter","darüber"))</f>
        <v/>
      </c>
      <c r="C25" s="10">
        <f>IF(AND(C23&gt;=20000000,C23&lt;=30000000),"im Rahmen",IF(C23&lt;20000000,"darunter","darüber"))</f>
        <v/>
      </c>
      <c r="D25" s="3" t="inlineStr">
        <is>
          <t>Spalte B = Variante A, Spalte C = Variante B</t>
        </is>
      </c>
    </row>
    <row r="26">
      <c r="A26" s="2" t="n"/>
      <c r="B26" s="2" t="n"/>
      <c r="C26" s="2" t="n"/>
      <c r="D26" s="2" t="n"/>
    </row>
    <row r="27" ht="30" customHeight="1">
      <c r="A27" s="4" t="inlineStr">
        <is>
          <t>Laufender Betrieb (Basis, pro Jahr)</t>
        </is>
      </c>
      <c r="B27" s="4" t="inlineStr">
        <is>
          <t>Variante A</t>
        </is>
      </c>
      <c r="C27" s="4" t="inlineStr">
        <is>
          <t>Variante B</t>
        </is>
      </c>
      <c r="D27" s="4" t="inlineStr"/>
    </row>
    <row r="28">
      <c r="A28" s="5" t="inlineStr">
        <is>
          <t>Erlöse</t>
        </is>
      </c>
      <c r="B28" s="11">
        <f>'Betrieb'!B12</f>
        <v/>
      </c>
      <c r="C28" s="11">
        <f>'Betrieb'!C12</f>
        <v/>
      </c>
      <c r="D28" s="2" t="n"/>
    </row>
    <row r="29">
      <c r="A29" s="5" t="inlineStr">
        <is>
          <t>Betriebskosten</t>
        </is>
      </c>
      <c r="B29" s="11">
        <f>'Betrieb'!B26</f>
        <v/>
      </c>
      <c r="C29" s="11">
        <f>'Betrieb'!C26</f>
        <v/>
      </c>
      <c r="D29" s="2" t="n"/>
    </row>
    <row r="30">
      <c r="A30" s="9" t="inlineStr">
        <is>
          <t>EBITDA</t>
        </is>
      </c>
      <c r="B30" s="11">
        <f>'Betrieb'!B28</f>
        <v/>
      </c>
      <c r="C30" s="11">
        <f>'Betrieb'!C28</f>
        <v/>
      </c>
      <c r="D30" s="2" t="n"/>
    </row>
    <row r="31">
      <c r="A31" s="5" t="inlineStr">
        <is>
          <t>Statische Amortisation (Jahre)</t>
        </is>
      </c>
      <c r="B31" s="12">
        <f>'Betrieb'!B30</f>
        <v/>
      </c>
      <c r="C31" s="12">
        <f>'Betrieb'!C30</f>
        <v/>
      </c>
      <c r="D31" s="2" t="n"/>
    </row>
    <row r="32">
      <c r="A32" s="2" t="n"/>
      <c r="B32" s="2" t="n"/>
      <c r="C32" s="2" t="n"/>
      <c r="D32" s="2" t="n"/>
    </row>
    <row r="33" ht="30" customHeight="1">
      <c r="A33" s="4" t="inlineStr">
        <is>
          <t>Wärme</t>
        </is>
      </c>
      <c r="B33" s="4" t="inlineStr">
        <is>
          <t>Wert</t>
        </is>
      </c>
      <c r="C33" s="4" t="inlineStr"/>
      <c r="D33" s="4" t="inlineStr"/>
    </row>
    <row r="34">
      <c r="A34" s="5" t="inlineStr">
        <is>
          <t>Wärmebedarf Spitze (MW)</t>
        </is>
      </c>
      <c r="B34" s="13">
        <f>'Wärme'!$F$11</f>
        <v/>
      </c>
      <c r="C34" s="2" t="n"/>
      <c r="D34" s="2" t="n"/>
    </row>
    <row r="35">
      <c r="A35" s="5" t="inlineStr">
        <is>
          <t>Wärmebedarf pro Jahr (GWh)</t>
        </is>
      </c>
      <c r="B35" s="13">
        <f>'Wärme'!$G$11</f>
        <v/>
      </c>
      <c r="C35" s="2" t="n"/>
      <c r="D35" s="2" t="n"/>
    </row>
    <row r="36">
      <c r="A36" s="5" t="inlineStr">
        <is>
          <t>Abwärme nutzbar (MW)</t>
        </is>
      </c>
      <c r="B36" s="13">
        <f>'Wärme'!$F$13</f>
        <v/>
      </c>
      <c r="C36" s="2" t="n"/>
      <c r="D36" s="2" t="n"/>
    </row>
    <row r="37">
      <c r="A37" s="5" t="inlineStr">
        <is>
          <t>Deckung der Spitzenlast</t>
        </is>
      </c>
      <c r="B37" s="14">
        <f>'Wärme'!$F$14</f>
        <v/>
      </c>
      <c r="C37" s="2" t="n"/>
      <c r="D37" s="2" t="n"/>
    </row>
    <row r="38">
      <c r="A38" s="5" t="inlineStr">
        <is>
          <t>Eingesparte Heizkosten (Mio. € / Jahr)</t>
        </is>
      </c>
      <c r="B38" s="6">
        <f>'Wärme'!$G$16</f>
        <v/>
      </c>
      <c r="C38" s="2" t="n"/>
      <c r="D38" s="2" t="n"/>
    </row>
    <row r="39">
      <c r="A39" s="5" t="inlineStr">
        <is>
          <t>Wärmeverkauf an Nachbarn (Mio. € / Jahr)</t>
        </is>
      </c>
      <c r="B39" s="6">
        <f>'Wärme'!$G$20</f>
        <v/>
      </c>
      <c r="C39" s="2" t="n"/>
      <c r="D39" s="2" t="n"/>
    </row>
    <row r="40">
      <c r="A40" s="5" t="inlineStr">
        <is>
          <t>ORC-Rückverstromung: Leistung (kW el.)</t>
        </is>
      </c>
      <c r="B40" s="15">
        <f>'Wärme'!$G$24</f>
        <v/>
      </c>
      <c r="C40" s="2" t="n"/>
      <c r="D40" s="2" t="n"/>
    </row>
    <row r="41">
      <c r="A41" s="5" t="inlineStr">
        <is>
          <t>ORC-Rückverstromung: Amortisation (Jahre)</t>
        </is>
      </c>
      <c r="B41" s="16">
        <f>'Wärme'!$G$28</f>
        <v/>
      </c>
      <c r="C41" s="2" t="n"/>
      <c r="D41" s="2" t="n"/>
    </row>
    <row r="42">
      <c r="A42" s="2" t="n"/>
      <c r="B42" s="2" t="n"/>
      <c r="C42" s="2" t="n"/>
      <c r="D42" s="2" t="n"/>
    </row>
    <row r="43">
      <c r="A43" s="3" t="inlineStr">
        <is>
          <t>Variante A: YUKI errichtet auch das Rechenzentrum (Gebäude, Strom, Kühlung) und vermietet es als Colocation; der Mieter bringt seine GPUs.</t>
        </is>
      </c>
      <c r="B43" s="2" t="n"/>
      <c r="C43" s="2" t="n"/>
      <c r="D43" s="2" t="n"/>
    </row>
    <row r="44">
      <c r="A44" s="3" t="inlineStr">
        <is>
          <t>Variante B: Ein Rechenzentrums-Betreiber baut die 1-MW-Anlage im Untergeschoss aus und finanziert sie, zahlt Miete und liefert die Abwärme.</t>
        </is>
      </c>
      <c r="B44" s="2" t="n"/>
      <c r="C44" s="2" t="n"/>
      <c r="D44" s="2" t="n"/>
    </row>
    <row r="45">
      <c r="A45" s="3" t="inlineStr">
        <is>
          <t>Konzept v4 (Vorgaben Michael 13.10.2026): Server ~3 m unter dem Parkplatz, Glasband und Glasboden; Freitreppe direkt ins EG; Onsen auf EG, 1. OG (Saunawelt), 2. OG + Waldflügel auf Stelzen; Restaurant im 3. OG.</t>
        </is>
      </c>
      <c r="B45" s="2" t="n"/>
      <c r="C45" s="2" t="n"/>
      <c r="D45" s="2" t="n"/>
    </row>
    <row r="46">
      <c r="A46" s="3" t="inlineStr">
        <is>
          <t>v4 liegt über dem Zielrahmen 20–30 Mio. €. Hebel: Waldflügel in eine 2. Phase, 2. OG kleiner oder später, Holzbau-Standard Richtung 4.800 €/m², weniger Reserve nach der Vorplanung.</t>
        </is>
      </c>
      <c r="B46" s="2" t="n"/>
      <c r="C46" s="2" t="n"/>
      <c r="D46" s="2" t="n"/>
    </row>
    <row r="47">
      <c r="A47" s="3" t="inlineStr">
        <is>
          <t>Größte Unsicherheiten: Umwidmung (Sww, Landschaftsschutzgebiet, Biosphärenpark-Entwicklungszone), Pachthöhe, Netzanschluss, Besucherzahlen.</t>
        </is>
      </c>
      <c r="B47" s="2" t="n"/>
      <c r="C47" s="2" t="n"/>
      <c r="D47" s="2" t="n"/>
    </row>
    <row r="48">
      <c r="A48" s="3" t="inlineStr">
        <is>
          <t>Stellschrauben: gelb markierte Zellen im Blatt „Annahmen“. Alle Summen rechnen automatisch neu.</t>
        </is>
      </c>
      <c r="B48" s="2" t="n"/>
      <c r="C48" s="2" t="n"/>
      <c r="D48" s="2" t="n"/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2" customWidth="1" min="1" max="1"/>
    <col width="20" customWidth="1" min="2" max="2"/>
    <col width="15" customWidth="1" min="3" max="3"/>
    <col width="15" customWidth="1" min="4" max="4"/>
    <col width="15" customWidth="1" min="5" max="5"/>
    <col width="95" customWidth="1" min="6" max="6"/>
  </cols>
  <sheetData>
    <row r="1">
      <c r="A1" s="1" t="inlineStr">
        <is>
          <t>YUKI · Kahlenberg — Annahmen (Grobkostenschätzung, Konzept v4)</t>
        </is>
      </c>
      <c r="B1" s="2" t="n"/>
      <c r="C1" s="2" t="n"/>
      <c r="D1" s="2" t="n"/>
      <c r="E1" s="2" t="n"/>
      <c r="F1" s="2" t="n"/>
    </row>
    <row r="2">
      <c r="A2" s="3" t="inlineStr">
        <is>
          <t>Blaue Zahlen = Eingaben (änderbar). Gelb hinterlegt = wichtigste Stellschrauben. Alle Beträge netto in Euro, Preisbasis 2026. Bandbreite: Niedrig / Basis / Hoch.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30" customHeight="1">
      <c r="A4" s="4" t="inlineStr">
        <is>
          <t>Annahme</t>
        </is>
      </c>
      <c r="B4" s="4" t="inlineStr">
        <is>
          <t>Einheit</t>
        </is>
      </c>
      <c r="C4" s="4" t="inlineStr">
        <is>
          <t>Niedrig</t>
        </is>
      </c>
      <c r="D4" s="4" t="inlineStr">
        <is>
          <t>Basis</t>
        </is>
      </c>
      <c r="E4" s="4" t="inlineStr">
        <is>
          <t>Hoch</t>
        </is>
      </c>
      <c r="F4" s="4" t="inlineStr">
        <is>
          <t>Quelle / Begründung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17" t="inlineStr">
        <is>
          <t>1  Größen des Projekts (Konzept v4: Server halb versenkt, Onsen auf drei Ebenen + Waldflügel, Vorgaben Michael 13.10.2026)</t>
        </is>
      </c>
      <c r="B6" s="18" t="n"/>
      <c r="C6" s="18" t="n"/>
      <c r="D6" s="18" t="n"/>
      <c r="E6" s="18" t="n"/>
      <c r="F6" s="18" t="n"/>
    </row>
    <row r="7">
      <c r="A7" s="5" t="inlineStr">
        <is>
          <t>IT-Leistung Rechenzentrum</t>
        </is>
      </c>
      <c r="B7" s="5" t="inlineStr">
        <is>
          <t>MW</t>
        </is>
      </c>
      <c r="C7" s="2" t="n"/>
      <c r="D7" s="19" t="n">
        <v>1</v>
      </c>
      <c r="E7" s="2" t="n"/>
      <c r="F7" s="20" t="inlineStr">
        <is>
          <t>Gewählt: 1 MW. Mit dem größeren Onsen deckt die Abwärme ~90 % der Winterspitze; Pufferspeicher im UG glätten die Abendspitze, der Rest kommt von einer kleinen Wärmepumpe (Blatt Wärme).</t>
        </is>
      </c>
    </row>
    <row r="8">
      <c r="A8" s="5" t="inlineStr">
        <is>
          <t>PUE (Gesamtstrom / IT-Strom)</t>
        </is>
      </c>
      <c r="B8" s="5" t="inlineStr">
        <is>
          <t>Faktor</t>
        </is>
      </c>
      <c r="C8" s="2" t="n"/>
      <c r="D8" s="21" t="n">
        <v>1.15</v>
      </c>
      <c r="E8" s="2" t="n"/>
      <c r="F8" s="20" t="inlineStr">
        <is>
          <t>Typisch für flüssiggekühlte Neubauten 1,1–1,2.</t>
        </is>
      </c>
    </row>
    <row r="9">
      <c r="A9" s="5" t="inlineStr">
        <is>
          <t>Sonstige Anschlussleistung (Onsen, Saunen, Gastro, Tierhaus)</t>
        </is>
      </c>
      <c r="B9" s="5" t="inlineStr">
        <is>
          <t>MW</t>
        </is>
      </c>
      <c r="C9" s="2" t="n"/>
      <c r="D9" s="21" t="n">
        <v>0.45</v>
      </c>
      <c r="E9" s="2" t="n"/>
      <c r="F9" s="20" t="inlineStr">
        <is>
          <t>Schätzung: sechs Saunaöfen (~0,2 MW), Pumpen, Lüftung, Küche, Lift, Beleuchtung.</t>
        </is>
      </c>
    </row>
    <row r="10">
      <c r="A10" s="5" t="inlineStr">
        <is>
          <t>Onsen (Bruttogrundfläche)</t>
        </is>
      </c>
      <c r="B10" s="5" t="inlineStr">
        <is>
          <t>m²</t>
        </is>
      </c>
      <c r="C10" s="2" t="n"/>
      <c r="D10" s="22" t="n">
        <v>2400</v>
      </c>
      <c r="E10" s="2" t="n"/>
      <c r="F10" s="20" t="inlineStr">
        <is>
          <t>v4: EG, 1. OG (Saunawelt) und 2. OG je ~704 m² + Waldflügel ~290 m² auf Stelzen. Server-Untergeschoss und Freitreppe in der Position „Sockel“.</t>
        </is>
      </c>
    </row>
    <row r="11">
      <c r="A11" s="5" t="inlineStr">
        <is>
          <t>Rotenburo (Außenbecken, Wasserfläche)</t>
        </is>
      </c>
      <c r="B11" s="5" t="inlineStr">
        <is>
          <t>m²</t>
        </is>
      </c>
      <c r="C11" s="2" t="n"/>
      <c r="D11" s="23" t="n">
        <v>120</v>
      </c>
      <c r="E11" s="2" t="n"/>
      <c r="F11" s="20" t="inlineStr">
        <is>
          <t>Zwei Becken auf dem Stelzendeck im 2. OG rund um den Waldflügel, Blick in den Makakenwald, 40–42 °C.</t>
        </is>
      </c>
    </row>
    <row r="12">
      <c r="A12" s="5" t="inlineStr">
        <is>
          <t>Innenbecken (Wasserfläche)</t>
        </is>
      </c>
      <c r="B12" s="5" t="inlineStr">
        <is>
          <t>m²</t>
        </is>
      </c>
      <c r="C12" s="2" t="n"/>
      <c r="D12" s="23" t="n">
        <v>160</v>
      </c>
      <c r="E12" s="2" t="n"/>
      <c r="F12" s="20" t="inlineStr">
        <is>
          <t>Zwei Innenbäder im EG (~128 m²), Kaltbecken, Kneipp, Ashiyu, private Onsen.</t>
        </is>
      </c>
    </row>
    <row r="13">
      <c r="A13" s="5" t="inlineStr">
        <is>
          <t>Badedeck auf Stelzen</t>
        </is>
      </c>
      <c r="B13" s="5" t="inlineStr">
        <is>
          <t>m²</t>
        </is>
      </c>
      <c r="C13" s="2" t="n"/>
      <c r="D13" s="23" t="n">
        <v>460</v>
      </c>
      <c r="E13" s="2" t="n"/>
      <c r="F13" s="20" t="inlineStr">
        <is>
          <t>Holzdeck im 2. OG rund um den Waldflügel, inkl. Pavillon und Saunahütte.</t>
        </is>
      </c>
    </row>
    <row r="14">
      <c r="A14" s="5" t="inlineStr">
        <is>
          <t>Restaurant + Whisky-Bar inkl. Küche (BGF)</t>
        </is>
      </c>
      <c r="B14" s="5" t="inlineStr">
        <is>
          <t>m²</t>
        </is>
      </c>
      <c r="C14" s="2" t="n"/>
      <c r="D14" s="23" t="n">
        <v>420</v>
      </c>
      <c r="E14" s="2" t="n"/>
      <c r="F14" s="20" t="inlineStr">
        <is>
          <t>Vorgabe max. 500 m²: im 3. OG des Onsen-Hauses integriert.</t>
        </is>
      </c>
    </row>
    <row r="15">
      <c r="A15" s="5" t="inlineStr">
        <is>
          <t>Sitzplätze gesamt</t>
        </is>
      </c>
      <c r="B15" s="5" t="inlineStr">
        <is>
          <t>Plätze</t>
        </is>
      </c>
      <c r="C15" s="2" t="n"/>
      <c r="D15" s="23" t="n">
        <v>70</v>
      </c>
      <c r="E15" s="2" t="n"/>
      <c r="F15" s="20" t="inlineStr">
        <is>
          <t>Restaurant ~50, Whisky-Bar ~20.</t>
        </is>
      </c>
    </row>
    <row r="16">
      <c r="A16" s="5" t="inlineStr">
        <is>
          <t>Warmwasserbecken Makaken (Wasserfläche)</t>
        </is>
      </c>
      <c r="B16" s="5" t="inlineStr">
        <is>
          <t>m²</t>
        </is>
      </c>
      <c r="C16" s="2" t="n"/>
      <c r="D16" s="23" t="n">
        <v>110</v>
      </c>
      <c r="E16" s="2" t="n"/>
      <c r="F16" s="20" t="inlineStr">
        <is>
          <t>Zwei Badestellen im ~0,8 ha Waldgehege.</t>
        </is>
      </c>
    </row>
    <row r="17">
      <c r="A17" s="5" t="inlineStr">
        <is>
          <t>Nutzbarer Anteil der RZ-Abwärme</t>
        </is>
      </c>
      <c r="B17" s="5" t="inlineStr">
        <is>
          <t>%</t>
        </is>
      </c>
      <c r="C17" s="2" t="n"/>
      <c r="D17" s="24" t="n">
        <v>0.8</v>
      </c>
      <c r="E17" s="2" t="n"/>
      <c r="F17" s="20" t="inlineStr">
        <is>
          <t>Direkt-Flüssigkühlung: ca. 70–85 % der Wärme als Warmwasser 45–55 °C nutzbar.</t>
        </is>
      </c>
    </row>
    <row r="18">
      <c r="A18" s="5" t="inlineStr">
        <is>
          <t>Info: Leistung je GPU-Rack (GB300 NVL72)</t>
        </is>
      </c>
      <c r="B18" s="5" t="inlineStr">
        <is>
          <t>kW</t>
        </is>
      </c>
      <c r="C18" s="2" t="n"/>
      <c r="D18" s="23" t="n">
        <v>135</v>
      </c>
      <c r="E18" s="2" t="n"/>
      <c r="F18" s="20" t="inlineStr">
        <is>
          <t>132–140 kW laut Wing VC (2026). Nur für die Info-Zeile „eigene GPUs“.</t>
        </is>
      </c>
    </row>
    <row r="19">
      <c r="A19" s="5" t="inlineStr">
        <is>
          <t>Wechselkurs EUR/USD</t>
        </is>
      </c>
      <c r="B19" s="5" t="inlineStr">
        <is>
          <t>USD je EUR</t>
        </is>
      </c>
      <c r="C19" s="2" t="n"/>
      <c r="D19" s="21" t="n">
        <v>1.12</v>
      </c>
      <c r="E19" s="2" t="n"/>
      <c r="F19" s="20" t="inlineStr">
        <is>
          <t>Schlusskurs 08.10.2026: 1,1207 (poundsterlinglive.com).</t>
        </is>
      </c>
    </row>
    <row r="20">
      <c r="A20" s="2" t="n"/>
      <c r="B20" s="2" t="n"/>
      <c r="C20" s="2" t="n"/>
      <c r="D20" s="2" t="n"/>
      <c r="E20" s="2" t="n"/>
      <c r="F20" s="2" t="n"/>
    </row>
    <row r="21">
      <c r="A21" s="17" t="inlineStr">
        <is>
          <t>2  Investitionskosten je Einheit (netto, Preisbasis 2026)</t>
        </is>
      </c>
      <c r="B21" s="18" t="n"/>
      <c r="C21" s="18" t="n"/>
      <c r="D21" s="18" t="n"/>
      <c r="E21" s="18" t="n"/>
      <c r="F21" s="18" t="n"/>
    </row>
    <row r="22">
      <c r="A22" s="5" t="inlineStr">
        <is>
          <t>Rechenzentrum: Gebäude, Strom- &amp; Kühltechnik (Colocation-Ausbau)</t>
        </is>
      </c>
      <c r="B22" s="5" t="inlineStr">
        <is>
          <t>€ je MW IT</t>
        </is>
      </c>
      <c r="C22" s="22" t="n">
        <v>6000000</v>
      </c>
      <c r="D22" s="22" t="n">
        <v>9000000</v>
      </c>
      <c r="E22" s="22" t="n">
        <v>12000000</v>
      </c>
      <c r="F22" s="20" t="inlineStr">
        <is>
          <t>JLL 2026: Ø 11,3 Mio. USD je MW; Schneider-Referenz 440 kW Tier III vorgefertigt 5,39 Mio. USD (≈12 Mio. USD/MW). Kleine Anlage mit Wärmenutzung statt Kältemaschinen und ohne volle Tier-III-Redundanz eher darunter.</t>
        </is>
      </c>
    </row>
    <row r="23">
      <c r="A23" s="5" t="inlineStr">
        <is>
          <t>Netzanschluss &amp; Trafostation</t>
        </is>
      </c>
      <c r="B23" s="5" t="inlineStr">
        <is>
          <t>€ je MW Anschluss</t>
        </is>
      </c>
      <c r="C23" s="23" t="n">
        <v>300000</v>
      </c>
      <c r="D23" s="23" t="n">
        <v>600000</v>
      </c>
      <c r="E23" s="23" t="n">
        <v>1000000</v>
      </c>
      <c r="F23" s="20" t="inlineStr">
        <is>
          <t>Die Sendeanlage ist bereits ans Netz angeschlossen; ob die Leistung reicht, ist mit Wiener Netze zu klären. Eigene Schätzung.</t>
        </is>
      </c>
    </row>
    <row r="24">
      <c r="A24" s="5" t="inlineStr">
        <is>
          <t>Wärmeverbund: Tauscher, Speicher, Rückkühler, Leitungen</t>
        </is>
      </c>
      <c r="B24" s="5" t="inlineStr">
        <is>
          <t>€ je MW Wärme</t>
        </is>
      </c>
      <c r="C24" s="23" t="n">
        <v>500000</v>
      </c>
      <c r="D24" s="23" t="n">
        <v>800000</v>
      </c>
      <c r="E24" s="23" t="n">
        <v>1200000</v>
      </c>
      <c r="F24" s="20" t="inlineStr">
        <is>
          <t>Eigene Schätzung; Tauscher und Pufferspeicher im Untergeschoss, Rückkühler auf dem Dach.</t>
        </is>
      </c>
    </row>
    <row r="25">
      <c r="A25" s="5" t="inlineStr">
        <is>
          <t>Onsen-Haus: japanischer Holzbau über dem Server-Untergeschoss (inkl. Saunen)</t>
        </is>
      </c>
      <c r="B25" s="5" t="inlineStr">
        <is>
          <t>€ je m² BGF</t>
        </is>
      </c>
      <c r="C25" s="22" t="n">
        <v>4800</v>
      </c>
      <c r="D25" s="22" t="n">
        <v>6000</v>
      </c>
      <c r="E25" s="22" t="n">
        <v>8000</v>
      </c>
      <c r="F25" s="20" t="inlineStr">
        <is>
          <t>Brettschichtholz/Zeder, Innenbäder, Haustechnik. Vergleich: Hotel-Spas 2,7–3,3 Tsd. €/m² (Leoben 2026, Zell 2019); japanische Handwerksqualität deutlich höher.</t>
        </is>
      </c>
    </row>
    <row r="26">
      <c r="A26" s="5" t="inlineStr">
        <is>
          <t>Rotenburo: Becken inkl. Technik &amp; Naturstein</t>
        </is>
      </c>
      <c r="B26" s="5" t="inlineStr">
        <is>
          <t>€ je m² Wasserfläche</t>
        </is>
      </c>
      <c r="C26" s="23" t="n">
        <v>6000</v>
      </c>
      <c r="D26" s="23" t="n">
        <v>8000</v>
      </c>
      <c r="E26" s="23" t="n">
        <v>11000</v>
      </c>
      <c r="F26" s="20" t="inlineStr">
        <is>
          <t>Eigene Schätzung.</t>
        </is>
      </c>
    </row>
    <row r="27">
      <c r="A27" s="5" t="inlineStr">
        <is>
          <t>Badedeck auf Stelzen (Fundamente, Tragwerk, Belag, Geländer)</t>
        </is>
      </c>
      <c r="B27" s="5" t="inlineStr">
        <is>
          <t>€ je m²</t>
        </is>
      </c>
      <c r="C27" s="23" t="n">
        <v>1000</v>
      </c>
      <c r="D27" s="23" t="n">
        <v>1500</v>
      </c>
      <c r="E27" s="23" t="n">
        <v>2200</v>
      </c>
      <c r="F27" s="20" t="inlineStr">
        <is>
          <t>Eigene Schätzung.</t>
        </is>
      </c>
    </row>
    <row r="28">
      <c r="A28" s="5" t="inlineStr">
        <is>
          <t>Halb versenkter Sockel: Baugrube, Stützwände, Abdichtung, Glasband, Freitreppe, Lift &amp; Treppe</t>
        </is>
      </c>
      <c r="B28" s="5" t="inlineStr">
        <is>
          <t>€ pauschal</t>
        </is>
      </c>
      <c r="C28" s="23" t="n">
        <v>1400000</v>
      </c>
      <c r="D28" s="23" t="n">
        <v>2000000</v>
      </c>
      <c r="E28" s="23" t="n">
        <v>2800000</v>
      </c>
      <c r="F28" s="20" t="inlineStr">
        <is>
          <t>Eigene Schätzung: ~2.500 m³ Aushub, ~300 m² Stützwand/weiße Wanne, ~180 m² Glasband, Freitreppe 21 Stufen mit Plattformlift, Aufzug über 5 Ebenen.</t>
        </is>
      </c>
    </row>
    <row r="29">
      <c r="A29" s="5" t="inlineStr">
        <is>
          <t>Waldflügel: Stelzentragwerk über dem Hang (4–11 m)</t>
        </is>
      </c>
      <c r="B29" s="5" t="inlineStr">
        <is>
          <t>€ pauschal</t>
        </is>
      </c>
      <c r="C29" s="23" t="n">
        <v>300000</v>
      </c>
      <c r="D29" s="23" t="n">
        <v>450000</v>
      </c>
      <c r="E29" s="23" t="n">
        <v>700000</v>
      </c>
      <c r="F29" s="20" t="inlineStr">
        <is>
          <t>Eigene Schätzung: ~24 Holzstützen auf Einzelfundamenten mit Riegeln, Abfangträger; Ausbau des Flügels in „Onsen-Haus“ enthalten.</t>
        </is>
      </c>
    </row>
    <row r="30">
      <c r="A30" s="5" t="inlineStr">
        <is>
          <t>Makaken-Sanctuary (~0,8 ha Gehege, Zaun, 2 Badestellen, Tierhaus ~140 m², Besuchersteg, Tiere)</t>
        </is>
      </c>
      <c r="B30" s="5" t="inlineStr">
        <is>
          <t>€ pauschal</t>
        </is>
      </c>
      <c r="C30" s="22" t="n">
        <v>1200000</v>
      </c>
      <c r="D30" s="22" t="n">
        <v>2000000</v>
      </c>
      <c r="E30" s="22" t="n">
        <v>3000000</v>
      </c>
      <c r="F30" s="20" t="inlineStr">
        <is>
          <t>Eigene Schätzung. Zum Vergleich: große Zoo-Anlagen 6–10 Mio. € (Menschenaffen, große Tierhäuser); winterharte Makaken im Freigehege deutlich einfacher.</t>
        </is>
      </c>
    </row>
    <row r="31">
      <c r="A31" s="5" t="inlineStr">
        <is>
          <t>Restaurant &amp; Bar (Ausbau + Küche, im 3. OG)</t>
        </is>
      </c>
      <c r="B31" s="5" t="inlineStr">
        <is>
          <t>€ je m² BGF</t>
        </is>
      </c>
      <c r="C31" s="23" t="n">
        <v>4000</v>
      </c>
      <c r="D31" s="23" t="n">
        <v>5500</v>
      </c>
      <c r="E31" s="23" t="n">
        <v>7500</v>
      </c>
      <c r="F31" s="20" t="inlineStr">
        <is>
          <t>Eigene Schätzung inkl. Gastroküche und japanischem Interieur.</t>
        </is>
      </c>
    </row>
    <row r="32">
      <c r="A32" s="5" t="inlineStr">
        <is>
          <t>Erschließung: Leitungen, neue Zufahrt durch den Parkplatz, Zufahrt Tierhaus</t>
        </is>
      </c>
      <c r="B32" s="5" t="inlineStr">
        <is>
          <t>€ pauschal</t>
        </is>
      </c>
      <c r="C32" s="23" t="n">
        <v>400000</v>
      </c>
      <c r="D32" s="23" t="n">
        <v>700000</v>
      </c>
      <c r="E32" s="23" t="n">
        <v>1100000</v>
      </c>
      <c r="F32" s="20" t="inlineStr">
        <is>
          <t>Das Haus überbaut die alte Zufahrt; neue Fahrspur durch den Parkplatz (~30–50 Stellplätze weniger).</t>
        </is>
      </c>
    </row>
    <row r="33">
      <c r="A33" s="5" t="inlineStr">
        <is>
          <t>Wärmeleitungen: Quellen der Makaken, Hotel, Modul University</t>
        </is>
      </c>
      <c r="B33" s="5" t="inlineStr">
        <is>
          <t>€ pauschal</t>
        </is>
      </c>
      <c r="C33" s="23" t="n">
        <v>150000</v>
      </c>
      <c r="D33" s="23" t="n">
        <v>200000</v>
      </c>
      <c r="E33" s="23" t="n">
        <v>350000</v>
      </c>
      <c r="F33" s="20" t="inlineStr">
        <is>
          <t>Eigene Schätzung: ~280 m Nahwärmeleitung + Übergabestationen; keine Leitung mehr vom Sender-Plateau (RZ im Haus).</t>
        </is>
      </c>
    </row>
    <row r="34">
      <c r="A34" s="5" t="inlineStr">
        <is>
          <t>Außenanlagen (Waldwege, Beleuchtung, Aufforstung)</t>
        </is>
      </c>
      <c r="B34" s="5" t="inlineStr">
        <is>
          <t>€ pauschal</t>
        </is>
      </c>
      <c r="C34" s="23" t="n">
        <v>300000</v>
      </c>
      <c r="D34" s="23" t="n">
        <v>500000</v>
      </c>
      <c r="E34" s="23" t="n">
        <v>900000</v>
      </c>
      <c r="F34" s="20" t="inlineStr"/>
    </row>
    <row r="35">
      <c r="A35" s="5" t="inlineStr">
        <is>
          <t>Ausstattung, IT, Branding, Pre-Opening</t>
        </is>
      </c>
      <c r="B35" s="5" t="inlineStr">
        <is>
          <t>€ pauschal</t>
        </is>
      </c>
      <c r="C35" s="23" t="n">
        <v>800000</v>
      </c>
      <c r="D35" s="23" t="n">
        <v>1200000</v>
      </c>
      <c r="E35" s="23" t="n">
        <v>1800000</v>
      </c>
      <c r="F35" s="20" t="inlineStr"/>
    </row>
    <row r="36">
      <c r="A36" s="5" t="inlineStr">
        <is>
          <t>Planung, Gutachten, Genehmigungen, Projektsteuerung</t>
        </is>
      </c>
      <c r="B36" s="5" t="inlineStr">
        <is>
          <t>% der Baukosten</t>
        </is>
      </c>
      <c r="C36" s="24" t="n">
        <v>0.12</v>
      </c>
      <c r="D36" s="24" t="n">
        <v>0.14</v>
      </c>
      <c r="E36" s="24" t="n">
        <v>0.16</v>
      </c>
      <c r="F36" s="20" t="inlineStr">
        <is>
          <t>Übliche Bandbreite; Holz-Vorfertigung vereinfacht die Bauzeit.</t>
        </is>
      </c>
    </row>
    <row r="37">
      <c r="A37" s="5" t="inlineStr">
        <is>
          <t>Reserve für Unvorhergesehenes</t>
        </is>
      </c>
      <c r="B37" s="5" t="inlineStr">
        <is>
          <t>% (Bau + Planung)</t>
        </is>
      </c>
      <c r="C37" s="25" t="n">
        <v>0.08</v>
      </c>
      <c r="D37" s="25" t="n">
        <v>0.12</v>
      </c>
      <c r="E37" s="25" t="n">
        <v>0.18</v>
      </c>
      <c r="F37" s="20" t="inlineStr">
        <is>
          <t>Konzeptphase.</t>
        </is>
      </c>
    </row>
    <row r="38">
      <c r="A38" s="5" t="inlineStr">
        <is>
          <t>Bauzeitzinsen / Finanzierungskosten</t>
        </is>
      </c>
      <c r="B38" s="5" t="inlineStr">
        <is>
          <t>% der Gesamtkosten</t>
        </is>
      </c>
      <c r="C38" s="24" t="n">
        <v>0.03</v>
      </c>
      <c r="D38" s="24" t="n">
        <v>0.04</v>
      </c>
      <c r="E38" s="24" t="n">
        <v>0.06</v>
      </c>
      <c r="F38" s="20" t="inlineStr"/>
    </row>
    <row r="39">
      <c r="A39" s="5" t="inlineStr">
        <is>
          <t>Info: GPU-Rack GB300 NVL72, betriebsbereit</t>
        </is>
      </c>
      <c r="B39" s="5" t="inlineStr">
        <is>
          <t>USD je Rack</t>
        </is>
      </c>
      <c r="C39" s="23" t="n">
        <v>4500000</v>
      </c>
      <c r="D39" s="23" t="n">
        <v>5700000</v>
      </c>
      <c r="E39" s="23" t="n">
        <v>6500000</v>
      </c>
      <c r="F39" s="20" t="inlineStr">
        <is>
          <t>Wing VC 2026: Kauf knapp 5,0 Mio. USD, betriebsbereit ~5,7 Mio. USD. Nur Info-Zeile.</t>
        </is>
      </c>
    </row>
    <row r="40">
      <c r="A40" s="5" t="inlineStr">
        <is>
          <t>Info: Netzwerk-Kern &amp; Speicher</t>
        </is>
      </c>
      <c r="B40" s="5" t="inlineStr">
        <is>
          <t>% der GPU-Hardware</t>
        </is>
      </c>
      <c r="C40" s="24" t="n">
        <v>0.08</v>
      </c>
      <c r="D40" s="24" t="n">
        <v>0.1</v>
      </c>
      <c r="E40" s="24" t="n">
        <v>0.15</v>
      </c>
      <c r="F40" s="20" t="inlineStr">
        <is>
          <t>Eigene Schätzung.</t>
        </is>
      </c>
    </row>
    <row r="41">
      <c r="A41" s="2" t="n"/>
      <c r="B41" s="2" t="n"/>
      <c r="C41" s="2" t="n"/>
      <c r="D41" s="2" t="n"/>
      <c r="E41" s="2" t="n"/>
      <c r="F41" s="2" t="n"/>
    </row>
    <row r="42">
      <c r="A42" s="17" t="inlineStr">
        <is>
          <t>3  Betrieb (Basisjahr nach Eröffnung, Basiswerte)</t>
        </is>
      </c>
      <c r="B42" s="18" t="n"/>
      <c r="C42" s="18" t="n"/>
      <c r="D42" s="18" t="n"/>
      <c r="E42" s="18" t="n"/>
      <c r="F42" s="18" t="n"/>
    </row>
    <row r="43">
      <c r="A43" s="5" t="inlineStr">
        <is>
          <t>Onsen-Besuche pro Jahr</t>
        </is>
      </c>
      <c r="B43" s="5" t="inlineStr">
        <is>
          <t>Besuche</t>
        </is>
      </c>
      <c r="C43" s="2" t="n"/>
      <c r="D43" s="22" t="n">
        <v>80000</v>
      </c>
      <c r="E43" s="2" t="n"/>
      <c r="F43" s="20" t="inlineStr">
        <is>
          <t>~220 pro Tag; mit Saunawelt und Waldflügel (~2.400 m²). Annahme.</t>
        </is>
      </c>
    </row>
    <row r="44">
      <c r="A44" s="5" t="inlineStr">
        <is>
          <t>Umsatz je Onsen-Besuch (Eintritt + Anwendungen)</t>
        </is>
      </c>
      <c r="B44" s="5" t="inlineStr">
        <is>
          <t>€</t>
        </is>
      </c>
      <c r="C44" s="2" t="n"/>
      <c r="D44" s="22" t="n">
        <v>90</v>
      </c>
      <c r="E44" s="2" t="n"/>
      <c r="F44" s="20" t="inlineStr">
        <is>
          <t>Luxus-Positionierung; Annahme.</t>
        </is>
      </c>
    </row>
    <row r="45">
      <c r="A45" s="5" t="inlineStr">
        <is>
          <t>Besucher Makaken-Sanctuary (Besuchersteg) pro Jahr</t>
        </is>
      </c>
      <c r="B45" s="5" t="inlineStr">
        <is>
          <t>Besucher</t>
        </is>
      </c>
      <c r="C45" s="2" t="n"/>
      <c r="D45" s="22" t="n">
        <v>100000</v>
      </c>
      <c r="E45" s="2" t="n"/>
      <c r="F45" s="20" t="inlineStr">
        <is>
          <t>Annahme.</t>
        </is>
      </c>
    </row>
    <row r="46">
      <c r="A46" s="5" t="inlineStr">
        <is>
          <t>Netto-Ticketerlös je Besucher</t>
        </is>
      </c>
      <c r="B46" s="5" t="inlineStr">
        <is>
          <t>€</t>
        </is>
      </c>
      <c r="C46" s="2" t="n"/>
      <c r="D46" s="23" t="n">
        <v>14</v>
      </c>
      <c r="E46" s="2" t="n"/>
      <c r="F46" s="20" t="inlineStr">
        <is>
          <t>Annahme.</t>
        </is>
      </c>
    </row>
    <row r="47">
      <c r="A47" s="5" t="inlineStr">
        <is>
          <t>Gastro-Umsatz je Sitzplatz und Jahr</t>
        </is>
      </c>
      <c r="B47" s="5" t="inlineStr">
        <is>
          <t>€</t>
        </is>
      </c>
      <c r="C47" s="2" t="n"/>
      <c r="D47" s="23" t="n">
        <v>30000</v>
      </c>
      <c r="E47" s="2" t="n"/>
      <c r="F47" s="20" t="inlineStr">
        <is>
          <t>Gehobene Wiener Gastronomie: grob 20–40 Tsd. € je Platz.</t>
        </is>
      </c>
    </row>
    <row r="48">
      <c r="A48" s="5" t="inlineStr">
        <is>
          <t>Events, Shop, Sonstiges</t>
        </is>
      </c>
      <c r="B48" s="5" t="inlineStr">
        <is>
          <t>€ / Jahr</t>
        </is>
      </c>
      <c r="C48" s="2" t="n"/>
      <c r="D48" s="23" t="n">
        <v>400000</v>
      </c>
      <c r="E48" s="2" t="n"/>
      <c r="F48" s="20" t="inlineStr">
        <is>
          <t>Annahme.</t>
        </is>
      </c>
    </row>
    <row r="49">
      <c r="A49" s="5" t="inlineStr">
        <is>
          <t>Variante A: Colocation-Miete</t>
        </is>
      </c>
      <c r="B49" s="5" t="inlineStr">
        <is>
          <t>€ je kW und Monat</t>
        </is>
      </c>
      <c r="C49" s="2" t="n"/>
      <c r="D49" s="22" t="n">
        <v>150</v>
      </c>
      <c r="E49" s="2" t="n"/>
      <c r="F49" s="20" t="inlineStr">
        <is>
          <t>Frankfurt mittlere Flächen 235–265 USD/kW/Monat; Großmieter &gt;1 MW 80–157 USD (coradvisors 2026). Strom wird zusätzlich weiterverrechnet.</t>
        </is>
      </c>
    </row>
    <row r="50">
      <c r="A50" s="5" t="inlineStr">
        <is>
          <t>Variante A: Auslastung Colocation</t>
        </is>
      </c>
      <c r="B50" s="5" t="inlineStr">
        <is>
          <t>%</t>
        </is>
      </c>
      <c r="C50" s="2" t="n"/>
      <c r="D50" s="24" t="n">
        <v>0.9</v>
      </c>
      <c r="E50" s="2" t="n"/>
      <c r="F50" s="20" t="inlineStr"/>
    </row>
    <row r="51">
      <c r="A51" s="5" t="inlineStr">
        <is>
          <t>Variante B: Baurechtszins vom RZ-Betreiber</t>
        </is>
      </c>
      <c r="B51" s="5" t="inlineStr">
        <is>
          <t>€ / Jahr</t>
        </is>
      </c>
      <c r="C51" s="2" t="n"/>
      <c r="D51" s="23" t="n">
        <v>150000</v>
      </c>
      <c r="E51" s="2" t="n"/>
      <c r="F51" s="20" t="inlineStr">
        <is>
          <t>Partner baut und betreibt das Rechenzentrum auf dem Areal und zahlt einen Zins; Annahme.</t>
        </is>
      </c>
    </row>
    <row r="52">
      <c r="A52" s="5" t="inlineStr">
        <is>
          <t>Variante B: Wärmebezug vom RZ-Betreiber</t>
        </is>
      </c>
      <c r="B52" s="5" t="inlineStr">
        <is>
          <t>€ je kWh</t>
        </is>
      </c>
      <c r="C52" s="2" t="n"/>
      <c r="D52" s="21" t="n">
        <v>0.02</v>
      </c>
      <c r="E52" s="2" t="n"/>
      <c r="F52" s="20" t="inlineStr">
        <is>
          <t>Abwärme ist für den Betreiber ein Nebenprodukt; günstiger Liefervertrag angenommen.</t>
        </is>
      </c>
    </row>
    <row r="53">
      <c r="A53" s="5" t="inlineStr">
        <is>
          <t>Mittlere Last des Rechenzentrums</t>
        </is>
      </c>
      <c r="B53" s="5" t="inlineStr">
        <is>
          <t>%</t>
        </is>
      </c>
      <c r="C53" s="2" t="n"/>
      <c r="D53" s="24" t="n">
        <v>0.85</v>
      </c>
      <c r="E53" s="2" t="n"/>
      <c r="F53" s="20" t="inlineStr"/>
    </row>
    <row r="54">
      <c r="A54" s="5" t="inlineStr">
        <is>
          <t>Strompreis (inkl. Netz, Abgaben)</t>
        </is>
      </c>
      <c r="B54" s="5" t="inlineStr">
        <is>
          <t>€ je kWh</t>
        </is>
      </c>
      <c r="C54" s="2" t="n"/>
      <c r="D54" s="26" t="n">
        <v>0.15</v>
      </c>
      <c r="E54" s="2" t="n"/>
      <c r="F54" s="20" t="inlineStr">
        <is>
          <t>Österreichs Energie 2026: Industrie Ø ~16 ct/kWh; 70–150 GWh ~14 ct (2025).</t>
        </is>
      </c>
    </row>
    <row r="55">
      <c r="A55" s="5" t="inlineStr">
        <is>
          <t>Stromverbrauch übriger Betrieb</t>
        </is>
      </c>
      <c r="B55" s="5" t="inlineStr">
        <is>
          <t>GWh / Jahr</t>
        </is>
      </c>
      <c r="C55" s="2" t="n"/>
      <c r="D55" s="27" t="n">
        <v>1.4</v>
      </c>
      <c r="E55" s="2" t="n"/>
      <c r="F55" s="20" t="inlineStr">
        <is>
          <t>Schätzung inkl. Saunaöfen.</t>
        </is>
      </c>
    </row>
    <row r="56">
      <c r="A56" s="5" t="inlineStr">
        <is>
          <t>Personal Onsen &amp; Saunen</t>
        </is>
      </c>
      <c r="B56" s="5" t="inlineStr">
        <is>
          <t>VZÄ</t>
        </is>
      </c>
      <c r="C56" s="2" t="n"/>
      <c r="D56" s="23" t="n">
        <v>30</v>
      </c>
      <c r="E56" s="2" t="n"/>
      <c r="F56" s="20" t="inlineStr">
        <is>
          <t>Inkl. Aufguss und Behandlungen.</t>
        </is>
      </c>
    </row>
    <row r="57">
      <c r="A57" s="5" t="inlineStr">
        <is>
          <t>Personal Restaurant &amp; Bar</t>
        </is>
      </c>
      <c r="B57" s="5" t="inlineStr">
        <is>
          <t>VZÄ</t>
        </is>
      </c>
      <c r="C57" s="2" t="n"/>
      <c r="D57" s="23" t="n">
        <v>16</v>
      </c>
      <c r="E57" s="2" t="n"/>
      <c r="F57" s="20" t="inlineStr"/>
    </row>
    <row r="58">
      <c r="A58" s="5" t="inlineStr">
        <is>
          <t>Personal Sanctuary (Tierpfleger, Tierarzt, Guides)</t>
        </is>
      </c>
      <c r="B58" s="5" t="inlineStr">
        <is>
          <t>VZÄ</t>
        </is>
      </c>
      <c r="C58" s="2" t="n"/>
      <c r="D58" s="23" t="n">
        <v>6</v>
      </c>
      <c r="E58" s="2" t="n"/>
      <c r="F58" s="20" t="inlineStr"/>
    </row>
    <row r="59">
      <c r="A59" s="5" t="inlineStr">
        <is>
          <t>Variante A: Personal Rechenzentrum &amp; Haustechnik</t>
        </is>
      </c>
      <c r="B59" s="5" t="inlineStr">
        <is>
          <t>VZÄ</t>
        </is>
      </c>
      <c r="C59" s="2" t="n"/>
      <c r="D59" s="23" t="n">
        <v>3</v>
      </c>
      <c r="E59" s="2" t="n"/>
      <c r="F59" s="20" t="inlineStr">
        <is>
          <t>In Variante B beim Betreiber.</t>
        </is>
      </c>
    </row>
    <row r="60">
      <c r="A60" s="5" t="inlineStr">
        <is>
          <t>Verwaltung, Vertrieb, Marketing</t>
        </is>
      </c>
      <c r="B60" s="5" t="inlineStr">
        <is>
          <t>VZÄ</t>
        </is>
      </c>
      <c r="C60" s="2" t="n"/>
      <c r="D60" s="23" t="n">
        <v>6</v>
      </c>
      <c r="E60" s="2" t="n"/>
      <c r="F60" s="20" t="inlineStr"/>
    </row>
    <row r="61">
      <c r="A61" s="5" t="inlineStr">
        <is>
          <t>Personalkosten je VZÄ, Hotellerie/Gastro (Arbeitgeber gesamt)</t>
        </is>
      </c>
      <c r="B61" s="5" t="inlineStr">
        <is>
          <t>€ / Jahr</t>
        </is>
      </c>
      <c r="C61" s="2" t="n"/>
      <c r="D61" s="23" t="n">
        <v>52000</v>
      </c>
      <c r="E61" s="2" t="n"/>
      <c r="F61" s="20" t="inlineStr">
        <is>
          <t>Kollektivvertrag + Lohnnebenkosten, Durchschnitt inkl. Führungskräfte; Annahme.</t>
        </is>
      </c>
    </row>
    <row r="62">
      <c r="A62" s="5" t="inlineStr">
        <is>
          <t>Personalkosten je VZÄ, Technik/RZ</t>
        </is>
      </c>
      <c r="B62" s="5" t="inlineStr">
        <is>
          <t>€ / Jahr</t>
        </is>
      </c>
      <c r="C62" s="2" t="n"/>
      <c r="D62" s="23" t="n">
        <v>85000</v>
      </c>
      <c r="E62" s="2" t="n"/>
      <c r="F62" s="20" t="inlineStr">
        <is>
          <t>Annahme.</t>
        </is>
      </c>
    </row>
    <row r="63">
      <c r="A63" s="5" t="inlineStr">
        <is>
          <t>Personalkosten je VZÄ, Verwaltung/Zoo</t>
        </is>
      </c>
      <c r="B63" s="5" t="inlineStr">
        <is>
          <t>€ / Jahr</t>
        </is>
      </c>
      <c r="C63" s="2" t="n"/>
      <c r="D63" s="23" t="n">
        <v>62000</v>
      </c>
      <c r="E63" s="2" t="n"/>
      <c r="F63" s="20" t="inlineStr">
        <is>
          <t>Annahme.</t>
        </is>
      </c>
    </row>
    <row r="64">
      <c r="A64" s="5" t="inlineStr">
        <is>
          <t>Wareneinsatz Gastronomie</t>
        </is>
      </c>
      <c r="B64" s="5" t="inlineStr">
        <is>
          <t>% Gastro-Umsatz</t>
        </is>
      </c>
      <c r="C64" s="2" t="n"/>
      <c r="D64" s="24" t="n">
        <v>0.3</v>
      </c>
      <c r="E64" s="2" t="n"/>
      <c r="F64" s="20" t="inlineStr">
        <is>
          <t>Branchenüblich 28–33 %.</t>
        </is>
      </c>
    </row>
    <row r="65">
      <c r="A65" s="5" t="inlineStr">
        <is>
          <t>Verbrauchskosten je Onsen-Besuch (Wäsche, Amenities, Wasser)</t>
        </is>
      </c>
      <c r="B65" s="5" t="inlineStr">
        <is>
          <t>€</t>
        </is>
      </c>
      <c r="C65" s="2" t="n"/>
      <c r="D65" s="23" t="n">
        <v>7</v>
      </c>
      <c r="E65" s="2" t="n"/>
      <c r="F65" s="20" t="inlineStr">
        <is>
          <t>Annahme.</t>
        </is>
      </c>
    </row>
    <row r="66">
      <c r="A66" s="5" t="inlineStr">
        <is>
          <t>Instandhaltung</t>
        </is>
      </c>
      <c r="B66" s="5" t="inlineStr">
        <is>
          <t>% der Baukosten p. a.</t>
        </is>
      </c>
      <c r="C66" s="2" t="n"/>
      <c r="D66" s="24" t="n">
        <v>0.015</v>
      </c>
      <c r="E66" s="2" t="n"/>
      <c r="F66" s="20" t="inlineStr"/>
    </row>
    <row r="67">
      <c r="A67" s="5" t="inlineStr">
        <is>
          <t>Versicherung</t>
        </is>
      </c>
      <c r="B67" s="5" t="inlineStr">
        <is>
          <t>% der Investition p. a.</t>
        </is>
      </c>
      <c r="C67" s="2" t="n"/>
      <c r="D67" s="24" t="n">
        <v>0.003</v>
      </c>
      <c r="E67" s="2" t="n"/>
      <c r="F67" s="20" t="inlineStr"/>
    </row>
    <row r="68">
      <c r="A68" s="5" t="inlineStr">
        <is>
          <t>Baurecht / Grundpacht an die Stadt Wien</t>
        </is>
      </c>
      <c r="B68" s="5" t="inlineStr">
        <is>
          <t>€ / Jahr</t>
        </is>
      </c>
      <c r="C68" s="2" t="n"/>
      <c r="D68" s="22" t="n">
        <v>150000</v>
      </c>
      <c r="E68" s="2" t="n"/>
      <c r="F68" s="20" t="inlineStr">
        <is>
          <t>Haus auf dem bestehenden Parkplatz; Eigentum klären → Pacht/Baurecht; Höhe offen (Platzhalter). Widmung derzeit Sww.</t>
        </is>
      </c>
    </row>
    <row r="69">
      <c r="A69" s="5" t="inlineStr">
        <is>
          <t>Tierhaltung (Futter, Tierarzt, Enrichment)</t>
        </is>
      </c>
      <c r="B69" s="5" t="inlineStr">
        <is>
          <t>€ / Jahr</t>
        </is>
      </c>
      <c r="C69" s="2" t="n"/>
      <c r="D69" s="23" t="n">
        <v>150000</v>
      </c>
      <c r="E69" s="2" t="n"/>
      <c r="F69" s="20" t="inlineStr"/>
    </row>
    <row r="70">
      <c r="A70" s="5" t="inlineStr">
        <is>
          <t>Marketing</t>
        </is>
      </c>
      <c r="B70" s="5" t="inlineStr">
        <is>
          <t>€ / Jahr</t>
        </is>
      </c>
      <c r="C70" s="2" t="n"/>
      <c r="D70" s="23" t="n">
        <v>500000</v>
      </c>
      <c r="E70" s="2" t="n"/>
      <c r="F70" s="20" t="inlineStr"/>
    </row>
    <row r="71">
      <c r="A71" s="5" t="inlineStr">
        <is>
          <t>Sonstige Betriebskosten (IT, Beratung, Gebühren)</t>
        </is>
      </c>
      <c r="B71" s="5" t="inlineStr">
        <is>
          <t>€ / Jahr</t>
        </is>
      </c>
      <c r="C71" s="2" t="n"/>
      <c r="D71" s="23" t="n">
        <v>400000</v>
      </c>
      <c r="E71" s="2" t="n"/>
      <c r="F71" s="20" t="inlineStr"/>
    </row>
    <row r="72">
      <c r="A72" s="5" t="inlineStr">
        <is>
          <t>Vergleich: Wärmepreis Gas/Fernwärme</t>
        </is>
      </c>
      <c r="B72" s="5" t="inlineStr">
        <is>
          <t>€ je kWh</t>
        </is>
      </c>
      <c r="C72" s="2" t="n"/>
      <c r="D72" s="21" t="n">
        <v>0.1</v>
      </c>
      <c r="E72" s="2" t="n"/>
      <c r="F72" s="20" t="inlineStr">
        <is>
          <t>Zur Bewertung der eingesparten Heizkosten; Annahme.</t>
        </is>
      </c>
    </row>
    <row r="73">
      <c r="A73" s="2" t="n"/>
      <c r="B73" s="2" t="n"/>
      <c r="C73" s="2" t="n"/>
      <c r="D73" s="2" t="n"/>
      <c r="E73" s="2" t="n"/>
      <c r="F73" s="2" t="n"/>
    </row>
    <row r="74">
      <c r="A74" s="17" t="inlineStr">
        <is>
          <t>4  Sommer-Überschusswärme</t>
        </is>
      </c>
      <c r="B74" s="18" t="n"/>
      <c r="C74" s="18" t="n"/>
      <c r="D74" s="18" t="n"/>
      <c r="E74" s="18" t="n"/>
      <c r="F74" s="18" t="n"/>
    </row>
    <row r="75">
      <c r="A75" s="5" t="inlineStr">
        <is>
          <t>Wärmeverkauf an Nachbarn (Hotel, Modul University)</t>
        </is>
      </c>
      <c r="B75" s="5" t="inlineStr">
        <is>
          <t>GWh / Jahr</t>
        </is>
      </c>
      <c r="C75" s="2" t="n"/>
      <c r="D75" s="19" t="n">
        <v>1.5</v>
      </c>
      <c r="E75" s="2" t="n"/>
      <c r="F75" s="20" t="inlineStr">
        <is>
          <t>Annahme; Hotel und Universität liegen direkt neben dem Parkplatz. Ganzjährig Warmwasser, im Winter Heizung.</t>
        </is>
      </c>
    </row>
    <row r="76">
      <c r="A76" s="5" t="inlineStr">
        <is>
          <t>Preis Wärmeverkauf</t>
        </is>
      </c>
      <c r="B76" s="5" t="inlineStr">
        <is>
          <t>€ je kWh</t>
        </is>
      </c>
      <c r="C76" s="2" t="n"/>
      <c r="D76" s="21" t="n">
        <v>0.07000000000000001</v>
      </c>
      <c r="E76" s="2" t="n"/>
      <c r="F76" s="20" t="inlineStr">
        <is>
          <t>Unter dem Gas-/Fernwärmepreis, damit attraktiv für Abnehmer.</t>
        </is>
      </c>
    </row>
    <row r="77">
      <c r="A77" s="5" t="inlineStr">
        <is>
          <t>ORC: Vorlauftemperatur der Abwärme</t>
        </is>
      </c>
      <c r="B77" s="5" t="inlineStr">
        <is>
          <t>°C</t>
        </is>
      </c>
      <c r="C77" s="2" t="n"/>
      <c r="D77" s="23" t="n">
        <v>55</v>
      </c>
      <c r="E77" s="2" t="n"/>
      <c r="F77" s="20" t="inlineStr">
        <is>
          <t>Direkt-Flüssigkühlung liefert ~45–60 °C.</t>
        </is>
      </c>
    </row>
    <row r="78">
      <c r="A78" s="5" t="inlineStr">
        <is>
          <t>ORC: Kühltemperatur im Sommer</t>
        </is>
      </c>
      <c r="B78" s="5" t="inlineStr">
        <is>
          <t>°C</t>
        </is>
      </c>
      <c r="C78" s="2" t="n"/>
      <c r="D78" s="23" t="n">
        <v>28</v>
      </c>
      <c r="E78" s="2" t="n"/>
      <c r="F78" s="20" t="inlineStr">
        <is>
          <t>Rückkühlung über Außenluft im Sommer.</t>
        </is>
      </c>
    </row>
    <row r="79">
      <c r="A79" s="5" t="inlineStr">
        <is>
          <t>ORC: erreichbarer Anteil des Carnot-Wirkungsgrads</t>
        </is>
      </c>
      <c r="B79" s="5" t="inlineStr">
        <is>
          <t>%</t>
        </is>
      </c>
      <c r="C79" s="2" t="n"/>
      <c r="D79" s="24" t="n">
        <v>0.4</v>
      </c>
      <c r="E79" s="2" t="n"/>
      <c r="F79" s="20" t="inlineStr">
        <is>
          <t>Niedertemperatur-ORC erreicht typisch 30–50 % von Carnot.</t>
        </is>
      </c>
    </row>
    <row r="80">
      <c r="A80" s="5" t="inlineStr">
        <is>
          <t>ORC: Betriebsstunden mit Überschuss</t>
        </is>
      </c>
      <c r="B80" s="5" t="inlineStr">
        <is>
          <t>h / Jahr</t>
        </is>
      </c>
      <c r="C80" s="2" t="n"/>
      <c r="D80" s="23" t="n">
        <v>3500</v>
      </c>
      <c r="E80" s="2" t="n"/>
      <c r="F80" s="20" t="inlineStr">
        <is>
          <t>April–September, Überschuss abzüglich Warmwasser.</t>
        </is>
      </c>
    </row>
    <row r="81">
      <c r="A81" s="5" t="inlineStr">
        <is>
          <t>ORC: Investition inkl. Einbindung</t>
        </is>
      </c>
      <c r="B81" s="5" t="inlineStr">
        <is>
          <t>€ je kW elektrisch</t>
        </is>
      </c>
      <c r="C81" s="2" t="n"/>
      <c r="D81" s="23" t="n">
        <v>8000</v>
      </c>
      <c r="E81" s="2" t="n"/>
      <c r="F81" s="20" t="inlineStr">
        <is>
          <t>Kleine Niedertemperatur-ORC-Anlagen (&lt;100 kW el.) grob 5.000–10.000 €/kW; Annahme.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2" customWidth="1" min="3" max="3"/>
    <col width="16" customWidth="1" min="4" max="4"/>
    <col width="14" customWidth="1" min="5" max="5"/>
    <col width="16" customWidth="1" min="6" max="6"/>
    <col width="18" customWidth="1" min="7" max="7"/>
    <col width="60" customWidth="1" min="8" max="8"/>
  </cols>
  <sheetData>
    <row r="1">
      <c r="A1" s="1" t="inlineStr">
        <is>
          <t>Wärmebilanz — reicht die Abwärme?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Grobe Ingenieursschätzung. Freiluftbecken verlieren vor allem durch Verdunstung Wärme (bei 40 °C im Winter bis ~1,8 kW/m²).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4" t="inlineStr">
        <is>
          <t>Verbraucher</t>
        </is>
      </c>
      <c r="B4" s="4" t="inlineStr">
        <is>
          <t>Größe</t>
        </is>
      </c>
      <c r="C4" s="4" t="inlineStr">
        <is>
          <t>Einheit</t>
        </is>
      </c>
      <c r="D4" s="4" t="inlineStr">
        <is>
          <t>Spitze kW/Einheit</t>
        </is>
      </c>
      <c r="E4" s="4" t="inlineStr">
        <is>
          <t>Ø kW/Einheit</t>
        </is>
      </c>
      <c r="F4" s="4" t="inlineStr">
        <is>
          <t>Spitzenlast (MW)</t>
        </is>
      </c>
      <c r="G4" s="4" t="inlineStr">
        <is>
          <t>Jahresbedarf (GWh)</t>
        </is>
      </c>
      <c r="H4" s="4" t="inlineStr">
        <is>
          <t>Hinweis</t>
        </is>
      </c>
    </row>
    <row r="5">
      <c r="A5" s="5" t="inlineStr">
        <is>
          <t>Rotenburo 40 °C</t>
        </is>
      </c>
      <c r="B5" s="15">
        <f>Annahmen!$D$11</f>
        <v/>
      </c>
      <c r="C5" s="5" t="inlineStr">
        <is>
          <t>m² Wasser</t>
        </is>
      </c>
      <c r="D5" s="21" t="n">
        <v>1.8</v>
      </c>
      <c r="E5" s="21" t="n">
        <v>0.8</v>
      </c>
      <c r="F5" s="28">
        <f>B5*D5/1000</f>
        <v/>
      </c>
      <c r="G5" s="28">
        <f>B5*E5*8760/1000000</f>
        <v/>
      </c>
      <c r="H5" s="3" t="inlineStr">
        <is>
          <t>Nachts abgedeckt; Verdunstung dominiert</t>
        </is>
      </c>
    </row>
    <row r="6">
      <c r="A6" s="5" t="inlineStr">
        <is>
          <t>Onsen-Innenbecken 38 °C</t>
        </is>
      </c>
      <c r="B6" s="15">
        <f>Annahmen!$D$12</f>
        <v/>
      </c>
      <c r="C6" s="5" t="inlineStr">
        <is>
          <t>m² Wasser</t>
        </is>
      </c>
      <c r="D6" s="21" t="n">
        <v>0.25</v>
      </c>
      <c r="E6" s="21" t="n">
        <v>0.15</v>
      </c>
      <c r="F6" s="28">
        <f>B6*D6/1000</f>
        <v/>
      </c>
      <c r="G6" s="28">
        <f>B6*E6*8760/1000000</f>
        <v/>
      </c>
      <c r="H6" s="3" t="inlineStr">
        <is>
          <t>Halle mit Lüftungs-Wärmerückgewinnung</t>
        </is>
      </c>
    </row>
    <row r="7">
      <c r="A7" s="5" t="inlineStr">
        <is>
          <t>Makaken-Badestellen 36 °C</t>
        </is>
      </c>
      <c r="B7" s="15">
        <f>Annahmen!$D$16</f>
        <v/>
      </c>
      <c r="C7" s="5" t="inlineStr">
        <is>
          <t>m² Wasser</t>
        </is>
      </c>
      <c r="D7" s="21" t="n">
        <v>1.5</v>
      </c>
      <c r="E7" s="21" t="n">
        <v>0.7</v>
      </c>
      <c r="F7" s="28">
        <f>B7*D7/1000</f>
        <v/>
      </c>
      <c r="G7" s="28">
        <f>B7*E7*8760/1000000</f>
        <v/>
      </c>
      <c r="H7" s="3" t="inlineStr">
        <is>
          <t>Nicht abdeckbar</t>
        </is>
      </c>
    </row>
    <row r="8">
      <c r="A8" s="5" t="inlineStr">
        <is>
          <t>Gebäudeheizung Onsen</t>
        </is>
      </c>
      <c r="B8" s="15">
        <f>Annahmen!$D$10</f>
        <v/>
      </c>
      <c r="C8" s="5" t="inlineStr">
        <is>
          <t>m² BGF</t>
        </is>
      </c>
      <c r="D8" s="21" t="n">
        <v>0.05</v>
      </c>
      <c r="E8" s="21" t="n">
        <v>0.008</v>
      </c>
      <c r="F8" s="28">
        <f>B8*D8/1000</f>
        <v/>
      </c>
      <c r="G8" s="28">
        <f>B8*E8*8760/1000000</f>
        <v/>
      </c>
      <c r="H8" s="3" t="inlineStr">
        <is>
          <t>Holzbau, Waldflügel auf Stelzen (außenluftberührt), ~70 kWh/m²·a</t>
        </is>
      </c>
    </row>
    <row r="9">
      <c r="A9" s="5" t="inlineStr">
        <is>
          <t>Gebäudeheizung Restaurant &amp; Bar</t>
        </is>
      </c>
      <c r="B9" s="15">
        <f>Annahmen!$D$14</f>
        <v/>
      </c>
      <c r="C9" s="5" t="inlineStr">
        <is>
          <t>m² BGF</t>
        </is>
      </c>
      <c r="D9" s="21" t="n">
        <v>0.05</v>
      </c>
      <c r="E9" s="21" t="n">
        <v>0.008</v>
      </c>
      <c r="F9" s="28">
        <f>B9*D9/1000</f>
        <v/>
      </c>
      <c r="G9" s="28">
        <f>B9*E9*8760/1000000</f>
        <v/>
      </c>
      <c r="H9" s="3" t="inlineStr"/>
    </row>
    <row r="10">
      <c r="A10" s="5" t="inlineStr">
        <is>
          <t>Warmwasser (Duschen, Küchen)</t>
        </is>
      </c>
      <c r="B10" s="29" t="n">
        <v>1</v>
      </c>
      <c r="C10" s="5" t="inlineStr">
        <is>
          <t>pauschal</t>
        </is>
      </c>
      <c r="D10" s="23" t="n">
        <v>200</v>
      </c>
      <c r="E10" s="23" t="n">
        <v>40</v>
      </c>
      <c r="F10" s="28">
        <f>B10*D10/1000</f>
        <v/>
      </c>
      <c r="G10" s="28">
        <f>B10*E10*8760/1000000</f>
        <v/>
      </c>
      <c r="H10" s="3" t="inlineStr">
        <is>
          <t>~220 Onsen-Gäste + Restaurant pro Tag; Werte in kW pauschal</t>
        </is>
      </c>
    </row>
    <row r="11">
      <c r="A11" s="9" t="inlineStr">
        <is>
          <t>Wärmebedarf gesamt</t>
        </is>
      </c>
      <c r="B11" s="2" t="n"/>
      <c r="C11" s="2" t="n"/>
      <c r="D11" s="2" t="n"/>
      <c r="E11" s="2" t="n"/>
      <c r="F11" s="30">
        <f>SUM(F5:F10)</f>
        <v/>
      </c>
      <c r="G11" s="30">
        <f>SUM(G5:G10)</f>
        <v/>
      </c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9" t="inlineStr">
        <is>
          <t>Abwärme Rechenzentrum (nutzbar)</t>
        </is>
      </c>
      <c r="B13" s="2" t="n"/>
      <c r="C13" s="2" t="n"/>
      <c r="D13" s="2" t="n"/>
      <c r="E13" s="2" t="n"/>
      <c r="F13" s="28">
        <f>Annahmen!$D$7*Annahmen!$D$53*Annahmen!$D$17</f>
        <v/>
      </c>
      <c r="G13" s="28">
        <f>F13*8760/1000</f>
        <v/>
      </c>
      <c r="H13" s="3" t="inlineStr">
        <is>
          <t>IT-Leistung × mittlere Last × nutzbarer Anteil</t>
        </is>
      </c>
    </row>
    <row r="14">
      <c r="A14" s="5" t="inlineStr">
        <is>
          <t>Deckung Spitzenlast durch Abwärme</t>
        </is>
      </c>
      <c r="B14" s="2" t="n"/>
      <c r="C14" s="2" t="n"/>
      <c r="D14" s="2" t="n"/>
      <c r="E14" s="2" t="n"/>
      <c r="F14" s="31">
        <f>IFERROR(F13/F11,0)</f>
        <v/>
      </c>
      <c r="G14" s="2" t="n"/>
      <c r="H14" s="3" t="inlineStr">
        <is>
          <t>&gt; 100 % = Spitzenlast vollständig gedeckt</t>
        </is>
      </c>
    </row>
    <row r="15">
      <c r="A15" s="5" t="inlineStr">
        <is>
          <t>Anteil der Abwärme, der genutzt wird</t>
        </is>
      </c>
      <c r="B15" s="2" t="n"/>
      <c r="C15" s="2" t="n"/>
      <c r="D15" s="2" t="n"/>
      <c r="E15" s="2" t="n"/>
      <c r="F15" s="2" t="n"/>
      <c r="G15" s="31">
        <f>IFERROR(G11/G13,0)</f>
        <v/>
      </c>
      <c r="H15" s="3" t="inlineStr">
        <is>
          <t>Rest wird im Sommer über Rückkühler abgeführt (oder an Nachbarn verkauft)</t>
        </is>
      </c>
    </row>
    <row r="16">
      <c r="A16" s="9" t="inlineStr">
        <is>
          <t>Eingesparte Heizkosten pro Jahr (€)</t>
        </is>
      </c>
      <c r="B16" s="2" t="n"/>
      <c r="C16" s="2" t="n"/>
      <c r="D16" s="2" t="n"/>
      <c r="E16" s="2" t="n"/>
      <c r="F16" s="2" t="n"/>
      <c r="G16" s="32">
        <f>MIN(G11,G13)*1000000*Annahmen!$D$72</f>
        <v/>
      </c>
      <c r="H16" s="3" t="inlineStr">
        <is>
          <t>Bewertet mit dem Vergleichs-Wärmepreis aus den Annahmen</t>
        </is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17" t="inlineStr">
        <is>
          <t>Sommer-Überschuss: Was tun mit der restlichen Abwärme?</t>
        </is>
      </c>
      <c r="B18" s="18" t="n"/>
      <c r="C18" s="18" t="n"/>
      <c r="D18" s="18" t="n"/>
      <c r="E18" s="18" t="n"/>
      <c r="F18" s="18" t="n"/>
      <c r="G18" s="18" t="n"/>
      <c r="H18" s="18" t="n"/>
    </row>
    <row r="19">
      <c r="A19" s="5" t="inlineStr">
        <is>
          <t>Überschusswärme pro Jahr (GWh)</t>
        </is>
      </c>
      <c r="B19" s="2" t="n"/>
      <c r="C19" s="2" t="n"/>
      <c r="D19" s="2" t="n"/>
      <c r="E19" s="2" t="n"/>
      <c r="F19" s="2" t="n"/>
      <c r="G19" s="28">
        <f>MAX(0,G13-G11)</f>
        <v/>
      </c>
      <c r="H19" s="3" t="inlineStr">
        <is>
          <t>Abwärme minus Eigenbedarf</t>
        </is>
      </c>
    </row>
    <row r="20">
      <c r="A20" s="9" t="inlineStr">
        <is>
          <t>Option 1: Wärmeverkauf an Nachbarn (€ / Jahr)</t>
        </is>
      </c>
      <c r="B20" s="2" t="n"/>
      <c r="C20" s="2" t="n"/>
      <c r="D20" s="2" t="n"/>
      <c r="E20" s="2" t="n"/>
      <c r="F20" s="2" t="n"/>
      <c r="G20" s="32">
        <f>MIN(G19,Annahmen!$D$75)*1000000*Annahmen!$D$76</f>
        <v/>
      </c>
      <c r="H20" s="3" t="inlineStr">
        <is>
          <t>Hotel + Modul University; Erlös fließt in Blatt „Betrieb“ ein</t>
        </is>
      </c>
    </row>
    <row r="21">
      <c r="A21" s="9" t="inlineStr">
        <is>
          <t>Option 2: Rückverstromung mit ORC</t>
        </is>
      </c>
      <c r="B21" s="2" t="n"/>
      <c r="C21" s="2" t="n"/>
      <c r="D21" s="2" t="n"/>
      <c r="E21" s="2" t="n"/>
      <c r="F21" s="2" t="n"/>
      <c r="G21" s="2" t="n"/>
      <c r="H21" s="2" t="n"/>
    </row>
    <row r="22">
      <c r="A22" s="5" t="inlineStr">
        <is>
          <t xml:space="preserve">  Carnot-Wirkungsgrad (theoretisches Maximum)</t>
        </is>
      </c>
      <c r="B22" s="2" t="n"/>
      <c r="C22" s="2" t="n"/>
      <c r="D22" s="2" t="n"/>
      <c r="E22" s="2" t="n"/>
      <c r="F22" s="2" t="n"/>
      <c r="G22" s="31">
        <f>1-(Annahmen!$D$78+273.15)/(Annahmen!$D$77+273.15)</f>
        <v/>
      </c>
      <c r="H22" s="3" t="inlineStr">
        <is>
          <t>Bei 55 °C Quelle und 28 °C Kühlung physikalisch höchstens ~8 %</t>
        </is>
      </c>
    </row>
    <row r="23">
      <c r="A23" s="5" t="inlineStr">
        <is>
          <t xml:space="preserve">  Realer ORC-Wirkungsgrad</t>
        </is>
      </c>
      <c r="B23" s="2" t="n"/>
      <c r="C23" s="2" t="n"/>
      <c r="D23" s="2" t="n"/>
      <c r="E23" s="2" t="n"/>
      <c r="F23" s="2" t="n"/>
      <c r="G23" s="31">
        <f>G22*Annahmen!$D$79</f>
        <v/>
      </c>
      <c r="H23" s="2" t="n"/>
    </row>
    <row r="24">
      <c r="A24" s="5" t="inlineStr">
        <is>
          <t xml:space="preserve">  Elektrische Leistung (kW)</t>
        </is>
      </c>
      <c r="B24" s="2" t="n"/>
      <c r="C24" s="2" t="n"/>
      <c r="D24" s="2" t="n"/>
      <c r="E24" s="2" t="n"/>
      <c r="F24" s="2" t="n"/>
      <c r="G24" s="33">
        <f>F13*1000*G23</f>
        <v/>
      </c>
      <c r="H24" s="2" t="n"/>
    </row>
    <row r="25">
      <c r="A25" s="5" t="inlineStr">
        <is>
          <t xml:space="preserve">  Strom pro Jahr (MWh)</t>
        </is>
      </c>
      <c r="B25" s="2" t="n"/>
      <c r="C25" s="2" t="n"/>
      <c r="D25" s="2" t="n"/>
      <c r="E25" s="2" t="n"/>
      <c r="F25" s="2" t="n"/>
      <c r="G25" s="33">
        <f>G24*Annahmen!$D$80/1000</f>
        <v/>
      </c>
      <c r="H25" s="2" t="n"/>
    </row>
    <row r="26">
      <c r="A26" s="5" t="inlineStr">
        <is>
          <t xml:space="preserve">  Wert des Stroms (€ / Jahr)</t>
        </is>
      </c>
      <c r="B26" s="2" t="n"/>
      <c r="C26" s="2" t="n"/>
      <c r="D26" s="2" t="n"/>
      <c r="E26" s="2" t="n"/>
      <c r="F26" s="2" t="n"/>
      <c r="G26" s="33">
        <f>G25*1000*Annahmen!$D$54</f>
        <v/>
      </c>
      <c r="H26" s="2" t="n"/>
    </row>
    <row r="27">
      <c r="A27" s="5" t="inlineStr">
        <is>
          <t xml:space="preserve">  Investition ORC (€)</t>
        </is>
      </c>
      <c r="B27" s="2" t="n"/>
      <c r="C27" s="2" t="n"/>
      <c r="D27" s="2" t="n"/>
      <c r="E27" s="2" t="n"/>
      <c r="F27" s="2" t="n"/>
      <c r="G27" s="33">
        <f>G24*Annahmen!$D$81</f>
        <v/>
      </c>
      <c r="H27" s="2" t="n"/>
    </row>
    <row r="28">
      <c r="A28" s="9" t="inlineStr">
        <is>
          <t xml:space="preserve">  Amortisation ORC (Jahre)</t>
        </is>
      </c>
      <c r="B28" s="2" t="n"/>
      <c r="C28" s="2" t="n"/>
      <c r="D28" s="2" t="n"/>
      <c r="E28" s="2" t="n"/>
      <c r="F28" s="2" t="n"/>
      <c r="G28" s="34">
        <f>IFERROR(G27/G26,0)</f>
        <v/>
      </c>
      <c r="H28" s="3" t="inlineStr">
        <is>
          <t>Nicht in den Summen enthalten — nur zur Einordnung</t>
        </is>
      </c>
    </row>
    <row r="29">
      <c r="A29" s="9" t="inlineStr">
        <is>
          <t>Option 3: Saisonaler Erdwärmespeicher / Adsorptionskälte</t>
        </is>
      </c>
      <c r="B29" s="2" t="n"/>
      <c r="C29" s="2" t="n"/>
      <c r="D29" s="2" t="n"/>
      <c r="E29" s="2" t="n"/>
      <c r="F29" s="2" t="n"/>
      <c r="G29" s="2" t="n"/>
      <c r="H29" s="3" t="inlineStr">
        <is>
          <t>Sommerwärme in Erdsonden einlagern bzw. damit Gebäude kühlen — technisch sinnvoller als Rückverstromung; Kosten im Detail zu planen</t>
        </is>
      </c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2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Investitionskosten (CAPEX) — Mio. €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Menge × Einheitspreis aus „Annahmen“. Werte in Mio. € (netto). Zielrahmen laut Michael: 20–30 Mio. €.</t>
        </is>
      </c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 ht="30" customHeight="1">
      <c r="A4" s="4" t="inlineStr">
        <is>
          <t>Baustein</t>
        </is>
      </c>
      <c r="B4" s="4" t="inlineStr">
        <is>
          <t>Menge</t>
        </is>
      </c>
      <c r="C4" s="4" t="inlineStr">
        <is>
          <t>Einheit</t>
        </is>
      </c>
      <c r="D4" s="4" t="inlineStr">
        <is>
          <t>Niedrig</t>
        </is>
      </c>
      <c r="E4" s="4" t="inlineStr">
        <is>
          <t>Basis</t>
        </is>
      </c>
      <c r="F4" s="4" t="inlineStr">
        <is>
          <t>Hoch</t>
        </is>
      </c>
      <c r="G4" s="4" t="inlineStr">
        <is>
          <t>Anmerkung</t>
        </is>
      </c>
    </row>
    <row r="5">
      <c r="A5" s="17" t="inlineStr">
        <is>
          <t>Variante A — YUKI baut alles inkl. Rechenzentrum (ohne GPU-Hardware)</t>
        </is>
      </c>
      <c r="B5" s="18" t="n"/>
      <c r="C5" s="18" t="n"/>
      <c r="D5" s="18" t="n"/>
      <c r="E5" s="18" t="n"/>
      <c r="F5" s="18" t="n"/>
      <c r="G5" s="18" t="n"/>
    </row>
    <row r="6">
      <c r="A6" s="5" t="inlineStr">
        <is>
          <t>AI-Rechenzentrum 1 MW (Gebäude, Strom, Kühlung)</t>
        </is>
      </c>
      <c r="B6" s="16">
        <f>Annahmen!$D$7</f>
        <v/>
      </c>
      <c r="C6" s="5" t="inlineStr">
        <is>
          <t>MW IT</t>
        </is>
      </c>
      <c r="D6" s="35">
        <f>$B6*Annahmen!$C$22</f>
        <v/>
      </c>
      <c r="E6" s="35">
        <f>$B6*Annahmen!$D$22</f>
        <v/>
      </c>
      <c r="F6" s="35">
        <f>$B6*Annahmen!$E$22</f>
        <v/>
      </c>
      <c r="G6" s="3" t="inlineStr">
        <is>
          <t>Colocation-Standard; Mieter bringt GPUs</t>
        </is>
      </c>
    </row>
    <row r="7">
      <c r="A7" s="5" t="inlineStr">
        <is>
          <t>Netzanschluss &amp; Trafostation</t>
        </is>
      </c>
      <c r="B7" s="16">
        <f>Annahmen!$D$7*Annahmen!$D$8+Annahmen!$D$9</f>
        <v/>
      </c>
      <c r="C7" s="5" t="inlineStr">
        <is>
          <t>MW</t>
        </is>
      </c>
      <c r="D7" s="35">
        <f>$B7*Annahmen!$C$23</f>
        <v/>
      </c>
      <c r="E7" s="35">
        <f>$B7*Annahmen!$D$23</f>
        <v/>
      </c>
      <c r="F7" s="35">
        <f>$B7*Annahmen!$E$23</f>
        <v/>
      </c>
      <c r="G7" s="3" t="inlineStr"/>
    </row>
    <row r="8">
      <c r="A8" s="5" t="inlineStr">
        <is>
          <t>Wärmeverbund &amp; Rückkühlung</t>
        </is>
      </c>
      <c r="B8" s="16">
        <f>Annahmen!$D$7*Annahmen!$D$17</f>
        <v/>
      </c>
      <c r="C8" s="5" t="inlineStr">
        <is>
          <t>MW Wärme</t>
        </is>
      </c>
      <c r="D8" s="35">
        <f>$B8*Annahmen!$C$24</f>
        <v/>
      </c>
      <c r="E8" s="35">
        <f>$B8*Annahmen!$D$24</f>
        <v/>
      </c>
      <c r="F8" s="35">
        <f>$B8*Annahmen!$E$24</f>
        <v/>
      </c>
      <c r="G8" s="3" t="inlineStr"/>
    </row>
    <row r="9">
      <c r="A9" s="5" t="inlineStr">
        <is>
          <t>Onsen-Haus (EG–2. OG + Waldflügel)</t>
        </is>
      </c>
      <c r="B9" s="15">
        <f>Annahmen!$D$10</f>
        <v/>
      </c>
      <c r="C9" s="5" t="inlineStr">
        <is>
          <t>m² BGF</t>
        </is>
      </c>
      <c r="D9" s="35">
        <f>$B9*Annahmen!$C$25</f>
        <v/>
      </c>
      <c r="E9" s="35">
        <f>$B9*Annahmen!$D$25</f>
        <v/>
      </c>
      <c r="F9" s="35">
        <f>$B9*Annahmen!$E$25</f>
        <v/>
      </c>
      <c r="G9" s="3" t="inlineStr">
        <is>
          <t>Holzbau über dem Server-Untergeschoss</t>
        </is>
      </c>
    </row>
    <row r="10">
      <c r="A10" s="5" t="inlineStr">
        <is>
          <t>Restaurant &amp; Whisky-Bar (3. OG)</t>
        </is>
      </c>
      <c r="B10" s="15">
        <f>Annahmen!$D$14</f>
        <v/>
      </c>
      <c r="C10" s="5" t="inlineStr">
        <is>
          <t>m² BGF</t>
        </is>
      </c>
      <c r="D10" s="35">
        <f>$B10*Annahmen!$C$31</f>
        <v/>
      </c>
      <c r="E10" s="35">
        <f>$B10*Annahmen!$D$31</f>
        <v/>
      </c>
      <c r="F10" s="35">
        <f>$B10*Annahmen!$E$31</f>
        <v/>
      </c>
      <c r="G10" s="3" t="inlineStr"/>
    </row>
    <row r="11">
      <c r="A11" s="5" t="inlineStr">
        <is>
          <t>Rotenburo-Becken</t>
        </is>
      </c>
      <c r="B11" s="15">
        <f>Annahmen!$D$11</f>
        <v/>
      </c>
      <c r="C11" s="5" t="inlineStr">
        <is>
          <t>m² Wasser</t>
        </is>
      </c>
      <c r="D11" s="35">
        <f>$B11*Annahmen!$C$26</f>
        <v/>
      </c>
      <c r="E11" s="35">
        <f>$B11*Annahmen!$D$26</f>
        <v/>
      </c>
      <c r="F11" s="35">
        <f>$B11*Annahmen!$E$26</f>
        <v/>
      </c>
      <c r="G11" s="3" t="inlineStr"/>
    </row>
    <row r="12">
      <c r="A12" s="5" t="inlineStr">
        <is>
          <t>Badedeck auf Stelzen</t>
        </is>
      </c>
      <c r="B12" s="15">
        <f>Annahmen!$D$13</f>
        <v/>
      </c>
      <c r="C12" s="5" t="inlineStr">
        <is>
          <t>m²</t>
        </is>
      </c>
      <c r="D12" s="35">
        <f>$B12*Annahmen!$C$27</f>
        <v/>
      </c>
      <c r="E12" s="35">
        <f>$B12*Annahmen!$D$27</f>
        <v/>
      </c>
      <c r="F12" s="35">
        <f>$B12*Annahmen!$E$27</f>
        <v/>
      </c>
      <c r="G12" s="3" t="inlineStr"/>
    </row>
    <row r="13">
      <c r="A13" s="5" t="inlineStr">
        <is>
          <t>Halb versenkter Sockel &amp; Freitreppe</t>
        </is>
      </c>
      <c r="B13" s="36">
        <f>1</f>
        <v/>
      </c>
      <c r="C13" s="5" t="inlineStr">
        <is>
          <t>pauschal</t>
        </is>
      </c>
      <c r="D13" s="35">
        <f>$B13*Annahmen!$C$28</f>
        <v/>
      </c>
      <c r="E13" s="35">
        <f>$B13*Annahmen!$D$28</f>
        <v/>
      </c>
      <c r="F13" s="35">
        <f>$B13*Annahmen!$E$28</f>
        <v/>
      </c>
      <c r="G13" s="3" t="inlineStr">
        <is>
          <t>Baugrube, Stützwände, Glasband, Treppe, Lift</t>
        </is>
      </c>
    </row>
    <row r="14">
      <c r="A14" s="5" t="inlineStr">
        <is>
          <t>Stelzen Waldflügel</t>
        </is>
      </c>
      <c r="B14" s="36">
        <f>1</f>
        <v/>
      </c>
      <c r="C14" s="5" t="inlineStr">
        <is>
          <t>pauschal</t>
        </is>
      </c>
      <c r="D14" s="35">
        <f>$B14*Annahmen!$C$29</f>
        <v/>
      </c>
      <c r="E14" s="35">
        <f>$B14*Annahmen!$D$29</f>
        <v/>
      </c>
      <c r="F14" s="35">
        <f>$B14*Annahmen!$E$29</f>
        <v/>
      </c>
      <c r="G14" s="3" t="inlineStr">
        <is>
          <t>Über dem Hang, 4–11 m</t>
        </is>
      </c>
    </row>
    <row r="15">
      <c r="A15" s="5" t="inlineStr">
        <is>
          <t>Makaken-Sanctuary</t>
        </is>
      </c>
      <c r="B15" s="36">
        <f>1</f>
        <v/>
      </c>
      <c r="C15" s="5" t="inlineStr">
        <is>
          <t>pauschal</t>
        </is>
      </c>
      <c r="D15" s="35">
        <f>$B15*Annahmen!$C$30</f>
        <v/>
      </c>
      <c r="E15" s="35">
        <f>$B15*Annahmen!$D$30</f>
        <v/>
      </c>
      <c r="F15" s="35">
        <f>$B15*Annahmen!$E$30</f>
        <v/>
      </c>
      <c r="G15" s="3" t="inlineStr">
        <is>
          <t>Troop vom Affenberg Landskron</t>
        </is>
      </c>
    </row>
    <row r="16">
      <c r="A16" s="5" t="inlineStr">
        <is>
          <t>Erschließung &amp; Leitungen</t>
        </is>
      </c>
      <c r="B16" s="36">
        <f>1</f>
        <v/>
      </c>
      <c r="C16" s="5" t="inlineStr">
        <is>
          <t>pauschal</t>
        </is>
      </c>
      <c r="D16" s="35">
        <f>$B16*Annahmen!$C$32</f>
        <v/>
      </c>
      <c r="E16" s="35">
        <f>$B16*Annahmen!$D$32</f>
        <v/>
      </c>
      <c r="F16" s="35">
        <f>$B16*Annahmen!$E$32</f>
        <v/>
      </c>
      <c r="G16" s="3" t="inlineStr">
        <is>
          <t>Neue Zufahrt durch den Parkplatz</t>
        </is>
      </c>
    </row>
    <row r="17">
      <c r="A17" s="5" t="inlineStr">
        <is>
          <t>Wärmeleitung zu Nachbarn</t>
        </is>
      </c>
      <c r="B17" s="36">
        <f>1</f>
        <v/>
      </c>
      <c r="C17" s="5" t="inlineStr">
        <is>
          <t>pauschal</t>
        </is>
      </c>
      <c r="D17" s="35">
        <f>$B17*Annahmen!$C$33</f>
        <v/>
      </c>
      <c r="E17" s="35">
        <f>$B17*Annahmen!$D$33</f>
        <v/>
      </c>
      <c r="F17" s="35">
        <f>$B17*Annahmen!$E$33</f>
        <v/>
      </c>
      <c r="G17" s="3" t="inlineStr">
        <is>
          <t>Hotel, Modul University</t>
        </is>
      </c>
    </row>
    <row r="18">
      <c r="A18" s="5" t="inlineStr">
        <is>
          <t>Außenanlagen</t>
        </is>
      </c>
      <c r="B18" s="36">
        <f>1</f>
        <v/>
      </c>
      <c r="C18" s="5" t="inlineStr">
        <is>
          <t>pauschal</t>
        </is>
      </c>
      <c r="D18" s="35">
        <f>$B18*Annahmen!$C$34</f>
        <v/>
      </c>
      <c r="E18" s="35">
        <f>$B18*Annahmen!$D$34</f>
        <v/>
      </c>
      <c r="F18" s="35">
        <f>$B18*Annahmen!$E$34</f>
        <v/>
      </c>
      <c r="G18" s="3" t="inlineStr"/>
    </row>
    <row r="19">
      <c r="A19" s="5" t="inlineStr">
        <is>
          <t>Ausstattung, IT, Pre-Opening</t>
        </is>
      </c>
      <c r="B19" s="36">
        <f>1</f>
        <v/>
      </c>
      <c r="C19" s="5" t="inlineStr">
        <is>
          <t>pauschal</t>
        </is>
      </c>
      <c r="D19" s="35">
        <f>$B19*Annahmen!$C$35</f>
        <v/>
      </c>
      <c r="E19" s="35">
        <f>$B19*Annahmen!$D$35</f>
        <v/>
      </c>
      <c r="F19" s="35">
        <f>$B19*Annahmen!$E$35</f>
        <v/>
      </c>
      <c r="G19" s="3" t="inlineStr"/>
    </row>
    <row r="20">
      <c r="A20" s="9" t="inlineStr">
        <is>
          <t>Baukosten (Summe)</t>
        </is>
      </c>
      <c r="B20" s="2" t="n"/>
      <c r="C20" s="2" t="n"/>
      <c r="D20" s="37">
        <f>SUM(D6:D19)</f>
        <v/>
      </c>
      <c r="E20" s="37">
        <f>SUM(E6:E19)</f>
        <v/>
      </c>
      <c r="F20" s="37">
        <f>SUM(F6:F19)</f>
        <v/>
      </c>
      <c r="G20" s="2" t="n"/>
    </row>
    <row r="21">
      <c r="A21" s="5" t="inlineStr">
        <is>
          <t>Planung, Gutachten, Genehmigungen</t>
        </is>
      </c>
      <c r="B21" s="2" t="n"/>
      <c r="C21" s="5" t="inlineStr">
        <is>
          <t>%</t>
        </is>
      </c>
      <c r="D21" s="35">
        <f>(D20)*Annahmen!$C$36</f>
        <v/>
      </c>
      <c r="E21" s="35">
        <f>(E20)*Annahmen!$D$36</f>
        <v/>
      </c>
      <c r="F21" s="35">
        <f>(F20)*Annahmen!$E$36</f>
        <v/>
      </c>
      <c r="G21" s="3" t="inlineStr"/>
    </row>
    <row r="22">
      <c r="A22" s="5" t="inlineStr">
        <is>
          <t>Reserve Unvorhergesehenes</t>
        </is>
      </c>
      <c r="B22" s="2" t="n"/>
      <c r="C22" s="5" t="inlineStr">
        <is>
          <t>%</t>
        </is>
      </c>
      <c r="D22" s="35">
        <f>(D20+D21)*Annahmen!$C$37</f>
        <v/>
      </c>
      <c r="E22" s="35">
        <f>(E20+E21)*Annahmen!$D$37</f>
        <v/>
      </c>
      <c r="F22" s="35">
        <f>(F20+F21)*Annahmen!$E$37</f>
        <v/>
      </c>
      <c r="G22" s="3" t="inlineStr"/>
    </row>
    <row r="23">
      <c r="A23" s="5" t="inlineStr">
        <is>
          <t>Bauzeitzinsen / Finanzierung</t>
        </is>
      </c>
      <c r="B23" s="2" t="n"/>
      <c r="C23" s="5" t="inlineStr">
        <is>
          <t>%</t>
        </is>
      </c>
      <c r="D23" s="35">
        <f>(D20+D21+D22)*Annahmen!$C$38</f>
        <v/>
      </c>
      <c r="E23" s="35">
        <f>(E20+E21+E22)*Annahmen!$D$38</f>
        <v/>
      </c>
      <c r="F23" s="35">
        <f>(F20+F21+F22)*Annahmen!$E$38</f>
        <v/>
      </c>
      <c r="G23" s="3" t="inlineStr"/>
    </row>
    <row r="24">
      <c r="A24" s="7" t="inlineStr">
        <is>
          <t>GESAMTINVESTITION VARIANTE A</t>
        </is>
      </c>
      <c r="B24" s="2" t="n"/>
      <c r="C24" s="2" t="n"/>
      <c r="D24" s="38">
        <f>D20+D21+D22+D23</f>
        <v/>
      </c>
      <c r="E24" s="38">
        <f>E20+E21+E22+E23</f>
        <v/>
      </c>
      <c r="F24" s="38">
        <f>F20+F21+F22+F23</f>
        <v/>
      </c>
      <c r="G24" s="2" t="n"/>
    </row>
    <row r="25">
      <c r="A25" s="2" t="n"/>
      <c r="B25" s="2" t="n"/>
      <c r="C25" s="2" t="n"/>
      <c r="D25" s="2" t="n"/>
      <c r="E25" s="2" t="n"/>
      <c r="F25" s="2" t="n"/>
      <c r="G25" s="2" t="n"/>
    </row>
    <row r="26">
      <c r="A26" s="17" t="inlineStr">
        <is>
          <t>Variante B — Rechenzentrum baut und finanziert ein Partner (YUKI kauft die Wärme)</t>
        </is>
      </c>
      <c r="B26" s="18" t="n"/>
      <c r="C26" s="18" t="n"/>
      <c r="D26" s="18" t="n"/>
      <c r="E26" s="18" t="n"/>
      <c r="F26" s="18" t="n"/>
      <c r="G26" s="18" t="n"/>
    </row>
    <row r="27">
      <c r="A27" s="9" t="inlineStr">
        <is>
          <t>Baukosten ohne Rechenzentrum und Netzanschluss</t>
        </is>
      </c>
      <c r="B27" s="2" t="n"/>
      <c r="C27" s="2" t="n"/>
      <c r="D27" s="39">
        <f>D20-D6-D7</f>
        <v/>
      </c>
      <c r="E27" s="39">
        <f>E20-E6-E7</f>
        <v/>
      </c>
      <c r="F27" s="39">
        <f>F20-F6-F7</f>
        <v/>
      </c>
      <c r="G27" s="3" t="inlineStr">
        <is>
          <t>Wärmeverbund bleibt bei YUKI</t>
        </is>
      </c>
    </row>
    <row r="28">
      <c r="A28" s="5" t="inlineStr">
        <is>
          <t>Planung, Gutachten, Genehmigungen</t>
        </is>
      </c>
      <c r="B28" s="2" t="n"/>
      <c r="C28" s="5" t="inlineStr">
        <is>
          <t>%</t>
        </is>
      </c>
      <c r="D28" s="35">
        <f>(D27)*Annahmen!$C$36</f>
        <v/>
      </c>
      <c r="E28" s="35">
        <f>(E27)*Annahmen!$D$36</f>
        <v/>
      </c>
      <c r="F28" s="35">
        <f>(F27)*Annahmen!$E$36</f>
        <v/>
      </c>
      <c r="G28" s="3" t="inlineStr"/>
    </row>
    <row r="29">
      <c r="A29" s="5" t="inlineStr">
        <is>
          <t>Reserve Unvorhergesehenes</t>
        </is>
      </c>
      <c r="B29" s="2" t="n"/>
      <c r="C29" s="5" t="inlineStr">
        <is>
          <t>%</t>
        </is>
      </c>
      <c r="D29" s="35">
        <f>(D27+D28)*Annahmen!$C$37</f>
        <v/>
      </c>
      <c r="E29" s="35">
        <f>(E27+E28)*Annahmen!$D$37</f>
        <v/>
      </c>
      <c r="F29" s="35">
        <f>(F27+F28)*Annahmen!$E$37</f>
        <v/>
      </c>
      <c r="G29" s="3" t="inlineStr"/>
    </row>
    <row r="30">
      <c r="A30" s="5" t="inlineStr">
        <is>
          <t>Bauzeitzinsen / Finanzierung</t>
        </is>
      </c>
      <c r="B30" s="2" t="n"/>
      <c r="C30" s="5" t="inlineStr">
        <is>
          <t>%</t>
        </is>
      </c>
      <c r="D30" s="35">
        <f>(D27+D28+D29)*Annahmen!$C$38</f>
        <v/>
      </c>
      <c r="E30" s="35">
        <f>(E27+E28+E29)*Annahmen!$D$38</f>
        <v/>
      </c>
      <c r="F30" s="35">
        <f>(F27+F28+F29)*Annahmen!$E$38</f>
        <v/>
      </c>
      <c r="G30" s="3" t="inlineStr"/>
    </row>
    <row r="31">
      <c r="A31" s="7" t="inlineStr">
        <is>
          <t>GESAMTINVESTITION VARIANTE B</t>
        </is>
      </c>
      <c r="B31" s="2" t="n"/>
      <c r="C31" s="2" t="n"/>
      <c r="D31" s="38">
        <f>D27+D28+D29+D30</f>
        <v/>
      </c>
      <c r="E31" s="38">
        <f>E27+E28+E29+E30</f>
        <v/>
      </c>
      <c r="F31" s="38">
        <f>F27+F28+F29+F30</f>
        <v/>
      </c>
      <c r="G31" s="2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17" t="inlineStr">
        <is>
          <t>Info — eigene GPU-Hardware für 1 MW (nicht im Zielrahmen)</t>
        </is>
      </c>
      <c r="B33" s="18" t="n"/>
      <c r="C33" s="18" t="n"/>
      <c r="D33" s="18" t="n"/>
      <c r="E33" s="18" t="n"/>
      <c r="F33" s="18" t="n"/>
      <c r="G33" s="18" t="n"/>
    </row>
    <row r="34">
      <c r="A34" s="5" t="inlineStr">
        <is>
          <t>GPU-Racks GB300 NVL72 inkl. Netzwerk &amp; Speicher</t>
        </is>
      </c>
      <c r="B34" s="40">
        <f>Annahmen!$D$7*1000/Annahmen!$D$18</f>
        <v/>
      </c>
      <c r="C34" s="5" t="inlineStr">
        <is>
          <t>Racks</t>
        </is>
      </c>
      <c r="D34" s="35">
        <f>$B34*Annahmen!$C$39/Annahmen!$D$19*(1+Annahmen!$C$40)</f>
        <v/>
      </c>
      <c r="E34" s="35">
        <f>$B34*Annahmen!$D$39/Annahmen!$D$19*(1+Annahmen!$D$40)</f>
        <v/>
      </c>
      <c r="F34" s="35">
        <f>$B34*Annahmen!$E$39/Annahmen!$D$19*(1+Annahmen!$E$40)</f>
        <v/>
      </c>
      <c r="G34" s="3" t="inlineStr">
        <is>
          <t>Zusätzlich zu Variante A; Hardware alle ~5 Jahre zu ersetzen</t>
        </is>
      </c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3" t="inlineStr">
        <is>
          <t>Nicht nötig: Hotel (direkt daneben), Seilbahn und Parkplatz-Umbau. Nicht enthalten: Grundstückskauf (Pacht angenommen), Umsatzsteuer, Anlaufverluste.</t>
        </is>
      </c>
      <c r="B36" s="2" t="n"/>
      <c r="C36" s="2" t="n"/>
      <c r="D36" s="2" t="n"/>
      <c r="E36" s="2" t="n"/>
      <c r="F36" s="2" t="n"/>
      <c r="G36" s="2" t="n"/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80" customWidth="1" min="4" max="4"/>
  </cols>
  <sheetData>
    <row r="1">
      <c r="A1" s="1" t="inlineStr">
        <is>
          <t>Laufender Betrieb — Basisjahr nach Anlauf (Mio. € pro Jahr, Basiswerte)</t>
        </is>
      </c>
      <c r="B1" s="2" t="n"/>
      <c r="C1" s="2" t="n"/>
      <c r="D1" s="2" t="n"/>
    </row>
    <row r="2">
      <c r="A2" s="3" t="inlineStr">
        <is>
          <t>Grobe Plausibilität, keine Planrechnung. A: Strom des Rechenzentrums wird an den Mieter weiterverrechnet. B: Partner betreibt das Rechenzentrum.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 ht="30" customHeight="1">
      <c r="A4" s="4" t="inlineStr">
        <is>
          <t>Position</t>
        </is>
      </c>
      <c r="B4" s="4" t="inlineStr">
        <is>
          <t>Variante A</t>
        </is>
      </c>
      <c r="C4" s="4" t="inlineStr">
        <is>
          <t>Variante B</t>
        </is>
      </c>
      <c r="D4" s="4" t="inlineStr">
        <is>
          <t>Rechnung</t>
        </is>
      </c>
    </row>
    <row r="5">
      <c r="A5" s="17" t="inlineStr">
        <is>
          <t>Erlöse</t>
        </is>
      </c>
      <c r="B5" s="18" t="n"/>
      <c r="C5" s="18" t="n"/>
      <c r="D5" s="18" t="n"/>
    </row>
    <row r="6">
      <c r="A6" s="5" t="inlineStr">
        <is>
          <t>Onsen</t>
        </is>
      </c>
      <c r="B6" s="35">
        <f>Annahmen!$D$43*Annahmen!$D$44</f>
        <v/>
      </c>
      <c r="C6" s="35">
        <f>B6</f>
        <v/>
      </c>
      <c r="D6" s="3" t="inlineStr">
        <is>
          <t>Besuche × Umsatz je Besuch</t>
        </is>
      </c>
    </row>
    <row r="7">
      <c r="A7" s="5" t="inlineStr">
        <is>
          <t>Makaken-Sanctuary</t>
        </is>
      </c>
      <c r="B7" s="35">
        <f>Annahmen!$D$45*Annahmen!$D$46</f>
        <v/>
      </c>
      <c r="C7" s="35">
        <f>B7</f>
        <v/>
      </c>
      <c r="D7" s="3" t="inlineStr">
        <is>
          <t>Besucher × Netto-Ticket</t>
        </is>
      </c>
    </row>
    <row r="8">
      <c r="A8" s="5" t="inlineStr">
        <is>
          <t>Restaurant &amp; Whisky-Bar</t>
        </is>
      </c>
      <c r="B8" s="35">
        <f>Annahmen!$D$15*Annahmen!$D$47</f>
        <v/>
      </c>
      <c r="C8" s="35">
        <f>B8</f>
        <v/>
      </c>
      <c r="D8" s="3" t="inlineStr">
        <is>
          <t>Sitzplätze × Umsatz je Platz</t>
        </is>
      </c>
    </row>
    <row r="9">
      <c r="A9" s="5" t="inlineStr">
        <is>
          <t>Events, Shop, Sonstiges</t>
        </is>
      </c>
      <c r="B9" s="35">
        <f>Annahmen!$D$48</f>
        <v/>
      </c>
      <c r="C9" s="35">
        <f>B9</f>
        <v/>
      </c>
      <c r="D9" s="3" t="inlineStr"/>
    </row>
    <row r="10">
      <c r="A10" s="5" t="inlineStr">
        <is>
          <t>Wärmeverkauf an Nachbarn</t>
        </is>
      </c>
      <c r="B10" s="35">
        <f>'Wärme'!$G$20</f>
        <v/>
      </c>
      <c r="C10" s="35">
        <f>B10</f>
        <v/>
      </c>
      <c r="D10" s="3" t="inlineStr">
        <is>
          <t>Hotel, Modul University (Blatt Wärme)</t>
        </is>
      </c>
    </row>
    <row r="11">
      <c r="A11" s="5" t="inlineStr">
        <is>
          <t>Rechenzentrum</t>
        </is>
      </c>
      <c r="B11" s="35">
        <f>Annahmen!$D$7*1000*Annahmen!$D$49*12*Annahmen!$D$50</f>
        <v/>
      </c>
      <c r="C11" s="35">
        <f>Annahmen!$D$51</f>
        <v/>
      </c>
      <c r="D11" s="3" t="inlineStr">
        <is>
          <t>A: kW × Miete × 12 × Auslastung · B: Baurechtszins des Betreibers</t>
        </is>
      </c>
    </row>
    <row r="12">
      <c r="A12" s="9" t="inlineStr">
        <is>
          <t>Erlöse gesamt</t>
        </is>
      </c>
      <c r="B12" s="39">
        <f>SUM(B6:B11)</f>
        <v/>
      </c>
      <c r="C12" s="39">
        <f>SUM(C6:C11)</f>
        <v/>
      </c>
      <c r="D12" s="3" t="inlineStr"/>
    </row>
    <row r="13">
      <c r="A13" s="2" t="n"/>
      <c r="B13" s="2" t="n"/>
      <c r="C13" s="2" t="n"/>
      <c r="D13" s="2" t="n"/>
    </row>
    <row r="14">
      <c r="A14" s="17" t="inlineStr">
        <is>
          <t>Betriebskosten</t>
        </is>
      </c>
      <c r="B14" s="18" t="n"/>
      <c r="C14" s="18" t="n"/>
      <c r="D14" s="18" t="n"/>
    </row>
    <row r="15">
      <c r="A15" s="5" t="inlineStr">
        <is>
          <t>Personal</t>
        </is>
      </c>
      <c r="B15" s="35">
        <f>(Annahmen!$D$56+Annahmen!$D$57)*Annahmen!$D$61+(Annahmen!$D$58+Annahmen!$D$60)*Annahmen!$D$63+Annahmen!$D$59*Annahmen!$D$62</f>
        <v/>
      </c>
      <c r="C15" s="35">
        <f>(Annahmen!$D$56+Annahmen!$D$57)*Annahmen!$D$61+(Annahmen!$D$58+Annahmen!$D$60)*Annahmen!$D$63</f>
        <v/>
      </c>
      <c r="D15" s="3" t="inlineStr">
        <is>
          <t>VZÄ × Personalkosten je Bereich (B ohne RZ-Personal)</t>
        </is>
      </c>
    </row>
    <row r="16">
      <c r="A16" s="5" t="inlineStr">
        <is>
          <t>Wareneinsatz Gastronomie</t>
        </is>
      </c>
      <c r="B16" s="35">
        <f>B8*Annahmen!$D$64</f>
        <v/>
      </c>
      <c r="C16" s="35">
        <f>C8*Annahmen!$D$64</f>
        <v/>
      </c>
      <c r="D16" s="3" t="inlineStr"/>
    </row>
    <row r="17">
      <c r="A17" s="5" t="inlineStr">
        <is>
          <t>Verbrauch Onsen (Wäsche, Amenities, Wasser)</t>
        </is>
      </c>
      <c r="B17" s="35">
        <f>Annahmen!$D$43*Annahmen!$D$65</f>
        <v/>
      </c>
      <c r="C17" s="35">
        <f>B17</f>
        <v/>
      </c>
      <c r="D17" s="3" t="inlineStr"/>
    </row>
    <row r="18">
      <c r="A18" s="5" t="inlineStr">
        <is>
          <t>Strom übriger Betrieb</t>
        </is>
      </c>
      <c r="B18" s="35">
        <f>Annahmen!$D$55*1000000*Annahmen!$D$54</f>
        <v/>
      </c>
      <c r="C18" s="35">
        <f>B18</f>
        <v/>
      </c>
      <c r="D18" s="3" t="inlineStr">
        <is>
          <t>RZ-Strom: A an Mieter weiterverrechnet, B beim Betreiber</t>
        </is>
      </c>
    </row>
    <row r="19">
      <c r="A19" s="5" t="inlineStr">
        <is>
          <t>Wärmebezug</t>
        </is>
      </c>
      <c r="B19" s="35">
        <f>0</f>
        <v/>
      </c>
      <c r="C19" s="35">
        <f>(MIN('Wärme'!$G$11,'Wärme'!$G$13)+MIN('Wärme'!$G$19,Annahmen!$D$75))*1000000*Annahmen!$D$52</f>
        <v/>
      </c>
      <c r="D19" s="3" t="inlineStr">
        <is>
          <t>A: eigene Abwärme · B: Eigenbedarf + weiterverkaufte Wärme × Bezugspreis</t>
        </is>
      </c>
    </row>
    <row r="20">
      <c r="A20" s="5" t="inlineStr">
        <is>
          <t>Instandhaltung</t>
        </is>
      </c>
      <c r="B20" s="35">
        <f>'Investition'!E20*Annahmen!$D$66</f>
        <v/>
      </c>
      <c r="C20" s="35">
        <f>'Investition'!E27*Annahmen!$D$66</f>
        <v/>
      </c>
      <c r="D20" s="3" t="inlineStr">
        <is>
          <t>% der Baukosten (Basis)</t>
        </is>
      </c>
    </row>
    <row r="21">
      <c r="A21" s="5" t="inlineStr">
        <is>
          <t>Versicherung</t>
        </is>
      </c>
      <c r="B21" s="35">
        <f>'Investition'!E24*Annahmen!$D$67</f>
        <v/>
      </c>
      <c r="C21" s="35">
        <f>'Investition'!E31*Annahmen!$D$67</f>
        <v/>
      </c>
      <c r="D21" s="3" t="inlineStr">
        <is>
          <t>% der Investition (Basis)</t>
        </is>
      </c>
    </row>
    <row r="22">
      <c r="A22" s="5" t="inlineStr">
        <is>
          <t>Baurecht / Grundpacht Stadt Wien</t>
        </is>
      </c>
      <c r="B22" s="35">
        <f>Annahmen!$D$68</f>
        <v/>
      </c>
      <c r="C22" s="35">
        <f>B22</f>
        <v/>
      </c>
      <c r="D22" s="3" t="inlineStr">
        <is>
          <t>Platzhalter</t>
        </is>
      </c>
    </row>
    <row r="23">
      <c r="A23" s="5" t="inlineStr">
        <is>
          <t>Tierhaltung</t>
        </is>
      </c>
      <c r="B23" s="35">
        <f>Annahmen!$D$69</f>
        <v/>
      </c>
      <c r="C23" s="35">
        <f>B23</f>
        <v/>
      </c>
      <c r="D23" s="3" t="inlineStr"/>
    </row>
    <row r="24">
      <c r="A24" s="5" t="inlineStr">
        <is>
          <t>Marketing</t>
        </is>
      </c>
      <c r="B24" s="35">
        <f>Annahmen!$D$70</f>
        <v/>
      </c>
      <c r="C24" s="35">
        <f>B24</f>
        <v/>
      </c>
      <c r="D24" s="3" t="inlineStr"/>
    </row>
    <row r="25">
      <c r="A25" s="5" t="inlineStr">
        <is>
          <t>Sonstiges</t>
        </is>
      </c>
      <c r="B25" s="35">
        <f>Annahmen!$D$71</f>
        <v/>
      </c>
      <c r="C25" s="35">
        <f>B25</f>
        <v/>
      </c>
      <c r="D25" s="3" t="inlineStr"/>
    </row>
    <row r="26">
      <c r="A26" s="9" t="inlineStr">
        <is>
          <t>Betriebskosten gesamt</t>
        </is>
      </c>
      <c r="B26" s="39">
        <f>SUM(B15:B25)</f>
        <v/>
      </c>
      <c r="C26" s="39">
        <f>SUM(C15:C25)</f>
        <v/>
      </c>
      <c r="D26" s="3" t="inlineStr"/>
    </row>
    <row r="27">
      <c r="A27" s="2" t="n"/>
      <c r="B27" s="2" t="n"/>
      <c r="C27" s="2" t="n"/>
      <c r="D27" s="2" t="n"/>
    </row>
    <row r="28">
      <c r="A28" s="7" t="inlineStr">
        <is>
          <t>EBITDA (Ergebnis vor Abschreibung)</t>
        </is>
      </c>
      <c r="B28" s="41">
        <f>B12-B26</f>
        <v/>
      </c>
      <c r="C28" s="41">
        <f>C12-C26</f>
        <v/>
      </c>
      <c r="D28" s="3" t="inlineStr"/>
    </row>
    <row r="29">
      <c r="A29" s="5" t="inlineStr">
        <is>
          <t>EBITDA-Marge</t>
        </is>
      </c>
      <c r="B29" s="31">
        <f>IFERROR(B28/B12,0)</f>
        <v/>
      </c>
      <c r="C29" s="31">
        <f>IFERROR(C28/C12,0)</f>
        <v/>
      </c>
      <c r="D29" s="3" t="inlineStr"/>
    </row>
    <row r="30">
      <c r="A30" s="5" t="inlineStr">
        <is>
          <t>Statische Amortisation (Jahre)</t>
        </is>
      </c>
      <c r="B30" s="40">
        <f>IF(B28&lt;=0,"keine",'Investition'!E24/B28)</f>
        <v/>
      </c>
      <c r="C30" s="40">
        <f>IF(C28&lt;=0,"keine",'Investition'!E31/C28)</f>
        <v/>
      </c>
      <c r="D30" s="3" t="inlineStr">
        <is>
          <t>Gesamtinvestition (Basis) / EBITDA; ohne Zinsen, Steuern und Ersatzinvestitionen</t>
        </is>
      </c>
    </row>
  </sheetData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100" customWidth="1" min="3" max="3"/>
  </cols>
  <sheetData>
    <row r="1">
      <c r="A1" s="1" t="inlineStr">
        <is>
          <t>Quellen &amp; Vergleichswerte</t>
        </is>
      </c>
      <c r="B1" s="2" t="n"/>
      <c r="C1" s="2" t="n"/>
    </row>
    <row r="2">
      <c r="A2" s="2" t="n"/>
      <c r="B2" s="2" t="n"/>
      <c r="C2" s="2" t="n"/>
    </row>
    <row r="3" ht="30" customHeight="1">
      <c r="A3" s="4" t="inlineStr">
        <is>
          <t>Thema</t>
        </is>
      </c>
      <c r="B3" s="4" t="inlineStr">
        <is>
          <t>Wert</t>
        </is>
      </c>
      <c r="C3" s="4" t="inlineStr">
        <is>
          <t>Quelle</t>
        </is>
      </c>
    </row>
    <row r="4">
      <c r="A4" s="5" t="inlineStr">
        <is>
          <t>Rechenzentrum Baukosten</t>
        </is>
      </c>
      <c r="B4" s="42" t="inlineStr">
        <is>
          <t>Mailand 9,79 / Frankfurt 11,60 / London 12,02 / Zürich 14,24 USD je Watt (2025/26)</t>
        </is>
      </c>
      <c r="C4" s="20" t="inlineStr">
        <is>
          <t>Turner &amp; Townsend Data Centre Cost Index 2025-26, zitiert in Il Sole 24 Ore: https://en.ilsole24ore.com/art/building-milan-data-centre-costs-11-per-cent-less-than-european-average-AIHra7uB</t>
        </is>
      </c>
    </row>
    <row r="5">
      <c r="A5" s="5" t="inlineStr">
        <is>
          <t>GPU-Rack GB300 NVL72</t>
        </is>
      </c>
      <c r="B5" s="42" t="inlineStr">
        <is>
          <t>Kauf knapp 5,0 Mio. USD, betriebsbereit ~5,7 Mio. USD, 132–140 kW; Betrieb 240–410 Tsd. USD/Jahr</t>
        </is>
      </c>
      <c r="C5" s="20" t="inlineStr">
        <is>
          <t>Wing VC: https://www.wing.vc/content/how-much-does-an-nvidia-nvl72-cost</t>
        </is>
      </c>
    </row>
    <row r="6">
      <c r="A6" s="5" t="inlineStr">
        <is>
          <t>Rechenzentrum Baukosten 2026</t>
        </is>
      </c>
      <c r="B6" s="42" t="inlineStr">
        <is>
          <t>Ø 11,3 Mio. USD je MW (JLL-Prognose, Mai 2026); modulare Bauweise 10–15 % günstiger</t>
        </is>
      </c>
      <c r="C6" s="20" t="inlineStr">
        <is>
          <t>Datacentres.com: https://www.datacentres.com/news/data-centre-construction-costs-11m-per-mw</t>
        </is>
      </c>
    </row>
    <row r="7">
      <c r="A7" s="5" t="inlineStr">
        <is>
          <t>Kleine/modulare Rechenzentren</t>
        </is>
      </c>
      <c r="B7" s="42" t="inlineStr">
        <is>
          <t>Schneider-Referenz 440 kW Tier III vorgefertigt ~5,39 Mio. USD (~12,3 Mio. USD/MW); Cushman &amp; Wakefield 2025: 9,3–15,0 Mio. USD/MW</t>
        </is>
      </c>
      <c r="C7" s="20" t="inlineStr">
        <is>
          <t>ModuleEdge (Feb. 2026): https://moduledge.com/blog/modular-data-center-cost</t>
        </is>
      </c>
    </row>
    <row r="8">
      <c r="A8" s="5" t="inlineStr">
        <is>
          <t>Colocation-Preise 2026</t>
        </is>
      </c>
      <c r="B8" s="42" t="inlineStr">
        <is>
          <t>Frankfurt mittlere Flächen 235–265 USD/kW/Monat; Großmieter &gt;1 MW 80–157 USD</t>
        </is>
      </c>
      <c r="C8" s="20" t="inlineStr">
        <is>
          <t>CoR Advisors: https://www.coradvisors.net/2026/08/colocation-pricing-per-rack-2026.html</t>
        </is>
      </c>
    </row>
    <row r="9">
      <c r="A9" s="5" t="inlineStr">
        <is>
          <t>Strompreis Industrie Österreich</t>
        </is>
      </c>
      <c r="B9" s="42" t="inlineStr">
        <is>
          <t>Ø ~16 ct/kWh; 70–150 GWh ~14,2 ct/kWh (2025)</t>
        </is>
      </c>
      <c r="C9" s="20" t="inlineStr">
        <is>
          <t>Österreichs Energie, Strompreisvergleich 2026: https://oesterreichsenergie.at/fileadmin/user_upload/Oesterreichs_Energie/Publikationsdatenbank/Studien/2026/20260527_OE_Strompreisvergleich_2026_Endversion_Pr%C3%A4sentation.pdf</t>
        </is>
      </c>
    </row>
    <row r="10">
      <c r="A10" s="5" t="inlineStr">
        <is>
          <t>Therme Ischgl</t>
        </is>
      </c>
      <c r="B10" s="42" t="inlineStr">
        <is>
          <t>60 Mio. € für ~1.000 m² Wasserfläche, 1.500 m² Sauna, Dachpool, Eislaufplatz</t>
        </is>
      </c>
      <c r="C10" s="20" t="inlineStr">
        <is>
          <t>HOGAPAGE: https://www.hogapage.de/nachrichten/wirtschaft/tourismus/ischgl-baut-neue-therme/</t>
        </is>
      </c>
    </row>
    <row r="11">
      <c r="A11" s="5" t="inlineStr">
        <is>
          <t>Therme Wien (Oberlaa)</t>
        </is>
      </c>
      <c r="B11" s="42" t="inlineStr">
        <is>
          <t>~115 Mio. € für ~64.000 m² BGF, eröffnet 2011</t>
        </is>
      </c>
      <c r="C11" s="20" t="inlineStr">
        <is>
          <t>world-architects: https://world-architects.com/de/4a-architekten/project/vienna-thermal-baths</t>
        </is>
      </c>
    </row>
    <row r="12">
      <c r="A12" s="5" t="inlineStr">
        <is>
          <t>Hotel-Spa Leoben</t>
        </is>
      </c>
      <c r="B12" s="42" t="inlineStr">
        <is>
          <t>1,5 Mio. € für 550 m² Spa (2026)</t>
        </is>
      </c>
      <c r="C12" s="20" t="inlineStr">
        <is>
          <t>pressefeuer.at: https://pressefeuer.at/news/asia-hotel-leoben-investiert-15-millionen-euro-in-neuen-spa-bereich-24429</t>
        </is>
      </c>
    </row>
    <row r="13">
      <c r="A13" s="5" t="inlineStr">
        <is>
          <t>Hotel-Spa Zell</t>
        </is>
      </c>
      <c r="B13" s="42" t="inlineStr">
        <is>
          <t>~2 Mio. € für 600 m² inkl. Innenpool (2019)</t>
        </is>
      </c>
      <c r="C13" s="20" t="inlineStr">
        <is>
          <t>Tageskarte: https://www.tageskarte.io/hotellerie/detail/das-zeller-gardenspa-ist-fertig.html</t>
        </is>
      </c>
    </row>
    <row r="14">
      <c r="A14" s="5" t="inlineStr">
        <is>
          <t>Zoo Krefeld Affenpark</t>
        </is>
      </c>
      <c r="B14" s="42" t="inlineStr">
        <is>
          <t>27,9 Mio. € für 2 ha; Affenhaus 830 m² ~9,9 Mio. €</t>
        </is>
      </c>
      <c r="C14" s="20" t="inlineStr">
        <is>
          <t>Zoo Krefeld: https://www.zookrefeld.de/fileadmin/user_upload/Download/Final_PM_Artenschutzschutzzentrum_Affenpark_Bauplanung.pdf</t>
        </is>
      </c>
    </row>
    <row r="15">
      <c r="A15" s="5" t="inlineStr">
        <is>
          <t>Kölner Zoo Giraffenanlage</t>
        </is>
      </c>
      <c r="B15" s="42" t="inlineStr">
        <is>
          <t>~6,5 Mio. €, Innenbereich &gt;1.000 m²</t>
        </is>
      </c>
      <c r="C15" s="20" t="inlineStr">
        <is>
          <t>leinetal24: https://www.leinetal24.de/welt/nach-zwei-jahren-bauzeit-warum-dieses-zoo-gehege-in-nrw-millionen-euro-gekostet-hat-zr-94405590.html</t>
        </is>
      </c>
    </row>
    <row r="16">
      <c r="A16" s="5" t="inlineStr">
        <is>
          <t>Zoo Osnabrück Wasserwelten</t>
        </is>
      </c>
      <c r="B16" s="42" t="inlineStr">
        <is>
          <t>7,7 Mio. € für 5.000 m² (2022)</t>
        </is>
      </c>
      <c r="C16" s="20" t="inlineStr">
        <is>
          <t>freizeitpark-welt.de: https://www.freizeitpark-welt.de/zoo/zoo_osnabrueck/news/wasserwelten-im-zoo-osnabrueck-nehmen-gestalt-an-n4640</t>
        </is>
      </c>
    </row>
    <row r="17">
      <c r="A17" s="5" t="inlineStr">
        <is>
          <t>Widmung &amp; Schutz</t>
        </is>
      </c>
      <c r="B17" s="42" t="inlineStr">
        <is>
          <t>Parkplatz und Umgebung: Sww (Schutzgebiet Wald- und Wiesengürtel), LSG Döbling Teil A, Biosphärenpark Wienerwald Entwicklungszone; Parkplatz ~8.000 m² befestigt</t>
        </is>
      </c>
      <c r="C17" s="20" t="inlineStr">
        <is>
          <t>Stadt Wien Open Data (data.wien.gv.at): Generalisierte Flächenwidmung, Landschaftsschutzgebiete, Biosphärenpark, Realnutzung 2024 — CC BY 4.0</t>
        </is>
      </c>
    </row>
    <row r="18">
      <c r="A18" s="5" t="inlineStr">
        <is>
          <t>Kahlenberg</t>
        </is>
      </c>
      <c r="B18" s="42" t="inlineStr">
        <is>
          <t>Teil des Wienerwalds, Hanglagen 45–60 %</t>
        </is>
      </c>
      <c r="C18" s="20" t="inlineStr">
        <is>
          <t>Austria-Forum: https://austria-forum.org/af/AustriaWiki/Kahlenberg</t>
        </is>
      </c>
    </row>
    <row r="19">
      <c r="A19" s="5" t="inlineStr">
        <is>
          <t>Wechselkurs</t>
        </is>
      </c>
      <c r="B19" s="42" t="inlineStr">
        <is>
          <t>EUR/USD 1,1207 (08.10.2026)</t>
        </is>
      </c>
      <c r="C19" s="20" t="inlineStr">
        <is>
          <t>poundsterlinglive.com: https://www.poundsterlinglive.com/history/EUR-USD-2026</t>
        </is>
      </c>
    </row>
    <row r="20">
      <c r="A20" s="5" t="inlineStr">
        <is>
          <t>Eigene Schätzungen</t>
        </is>
      </c>
      <c r="B20" s="42" t="inlineStr">
        <is>
          <t>Netzanschluss, Wärmeverbund, Holzbau-Kosten, Deck, Lift, Sanctuary, Gastro-Ausbau, Erschließung, Wärmebedarf, Personal, Besucherzahlen</t>
        </is>
      </c>
      <c r="C20" s="20" t="inlineStr">
        <is>
          <t>Nicht belegt — vor Investorengesprächen durch Fachplaner/Gutachten zu verifizieren.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2026-10-12T22:37:48Z</dcterms:created>
  <dcterms:modified xmlns:dcterms="http://purl.org/dc/terms/" xmlns:xsi="http://www.w3.org/2001/XMLSchema-instance" xsi:type="dcterms:W3CDTF">2026-10-12T22:37:48Z</dcterms:modified>
</cp:coreProperties>
</file>